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Usuário\Downloads\Entrega_Final\Entrega_Final\Cenário atual\"/>
    </mc:Choice>
  </mc:AlternateContent>
  <xr:revisionPtr revIDLastSave="0" documentId="13_ncr:1_{D7E9AB2B-198F-4C22-B1B0-CAC1ADA46A65}" xr6:coauthVersionLast="47" xr6:coauthVersionMax="47" xr10:uidLastSave="{00000000-0000-0000-0000-000000000000}"/>
  <bookViews>
    <workbookView xWindow="-120" yWindow="-120" windowWidth="20730" windowHeight="11160" tabRatio="811" activeTab="4" xr2:uid="{ED0D4283-0AF1-430A-A0F4-439A13221F1A}"/>
  </bookViews>
  <sheets>
    <sheet name="Renda" sheetId="1" r:id="rId1"/>
    <sheet name="Demandas " sheetId="2" r:id="rId2"/>
    <sheet name="Cargas Poluidoras" sheetId="9" r:id="rId3"/>
    <sheet name="Base Cenários" sheetId="5" r:id="rId4"/>
    <sheet name="Síntese" sheetId="8" r:id="rId5"/>
    <sheet name="Cenário B.1.1" sheetId="18" r:id="rId6"/>
    <sheet name="Cenário B.1.2" sheetId="10" r:id="rId7"/>
    <sheet name="Cenário B.1.3" sheetId="11" r:id="rId8"/>
    <sheet name="Cenário B.2.1" sheetId="12" r:id="rId9"/>
    <sheet name="Cenário B.2.2" sheetId="13" r:id="rId10"/>
    <sheet name="Cenário B.2.3" sheetId="14" r:id="rId11"/>
    <sheet name="Cenário B.3.1" sheetId="15" r:id="rId12"/>
    <sheet name="Cenário B.3.2" sheetId="16" r:id="rId13"/>
    <sheet name="Cenário B.3.3" sheetId="17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8" l="1"/>
  <c r="F27" i="8"/>
  <c r="F28" i="8"/>
  <c r="F29" i="8"/>
  <c r="F30" i="8"/>
  <c r="F31" i="8"/>
  <c r="F25" i="8"/>
  <c r="B4" i="8"/>
  <c r="B11" i="8"/>
  <c r="C11" i="8"/>
  <c r="D11" i="8"/>
  <c r="E11" i="8"/>
  <c r="F11" i="8"/>
  <c r="B12" i="8"/>
  <c r="C12" i="8"/>
  <c r="D12" i="8"/>
  <c r="E12" i="8"/>
  <c r="F12" i="8"/>
  <c r="B13" i="8"/>
  <c r="C13" i="8"/>
  <c r="D13" i="8"/>
  <c r="E13" i="8"/>
  <c r="F13" i="8"/>
  <c r="C14" i="8"/>
  <c r="D14" i="8"/>
  <c r="E14" i="8"/>
  <c r="F14" i="8"/>
  <c r="B15" i="8"/>
  <c r="C15" i="8"/>
  <c r="D15" i="8"/>
  <c r="E15" i="8"/>
  <c r="F15" i="8"/>
  <c r="C16" i="8"/>
  <c r="D16" i="8"/>
  <c r="E16" i="8"/>
  <c r="F16" i="8"/>
  <c r="C10" i="8"/>
  <c r="D10" i="8"/>
  <c r="E10" i="8"/>
  <c r="F10" i="8"/>
  <c r="B10" i="8"/>
  <c r="I83" i="18"/>
  <c r="C83" i="18"/>
  <c r="B83" i="18"/>
  <c r="I82" i="18"/>
  <c r="B82" i="18"/>
  <c r="C82" i="18" s="1"/>
  <c r="I81" i="18"/>
  <c r="B81" i="18"/>
  <c r="C81" i="18" s="1"/>
  <c r="I80" i="18"/>
  <c r="B80" i="18"/>
  <c r="C80" i="18" s="1"/>
  <c r="I79" i="18"/>
  <c r="B79" i="18"/>
  <c r="C79" i="18" s="1"/>
  <c r="I78" i="18"/>
  <c r="B78" i="18"/>
  <c r="C78" i="18" s="1"/>
  <c r="B71" i="18"/>
  <c r="C71" i="18" s="1"/>
  <c r="B70" i="18"/>
  <c r="C70" i="18" s="1"/>
  <c r="C69" i="18"/>
  <c r="B69" i="18"/>
  <c r="C68" i="18"/>
  <c r="B68" i="18"/>
  <c r="B67" i="18"/>
  <c r="C67" i="18" s="1"/>
  <c r="B66" i="18"/>
  <c r="C66" i="18" s="1"/>
  <c r="I59" i="18"/>
  <c r="B59" i="18"/>
  <c r="C59" i="18" s="1"/>
  <c r="I58" i="18"/>
  <c r="B58" i="18"/>
  <c r="C58" i="18" s="1"/>
  <c r="I57" i="18"/>
  <c r="C57" i="18"/>
  <c r="B57" i="18"/>
  <c r="I56" i="18"/>
  <c r="B56" i="18"/>
  <c r="C56" i="18" s="1"/>
  <c r="I55" i="18"/>
  <c r="B55" i="18"/>
  <c r="C55" i="18" s="1"/>
  <c r="I54" i="18"/>
  <c r="B54" i="18"/>
  <c r="C54" i="18" s="1"/>
  <c r="F47" i="18"/>
  <c r="L47" i="18" s="1"/>
  <c r="C47" i="18"/>
  <c r="B47" i="18"/>
  <c r="B46" i="18"/>
  <c r="C46" i="18" s="1"/>
  <c r="B45" i="18"/>
  <c r="C45" i="18" s="1"/>
  <c r="F44" i="18"/>
  <c r="L44" i="18" s="1"/>
  <c r="C44" i="18"/>
  <c r="B44" i="18"/>
  <c r="B43" i="18"/>
  <c r="C43" i="18" s="1"/>
  <c r="B42" i="18"/>
  <c r="C42" i="18" s="1"/>
  <c r="K33" i="18"/>
  <c r="B33" i="18"/>
  <c r="C33" i="18" s="1"/>
  <c r="K32" i="18"/>
  <c r="B32" i="18"/>
  <c r="C32" i="18" s="1"/>
  <c r="K31" i="18"/>
  <c r="B31" i="18"/>
  <c r="C31" i="18" s="1"/>
  <c r="K30" i="18"/>
  <c r="B30" i="18"/>
  <c r="C30" i="18" s="1"/>
  <c r="K29" i="18"/>
  <c r="B29" i="18"/>
  <c r="C29" i="18" s="1"/>
  <c r="K28" i="18"/>
  <c r="C28" i="18"/>
  <c r="H28" i="18" s="1"/>
  <c r="O28" i="18" s="1"/>
  <c r="B28" i="18"/>
  <c r="M14" i="18"/>
  <c r="J14" i="18"/>
  <c r="M13" i="18"/>
  <c r="M11" i="18"/>
  <c r="I11" i="18"/>
  <c r="M10" i="18"/>
  <c r="J10" i="18"/>
  <c r="M9" i="18"/>
  <c r="C4" i="18"/>
  <c r="J78" i="18" s="1"/>
  <c r="N78" i="18" s="1"/>
  <c r="K30" i="5"/>
  <c r="K31" i="5"/>
  <c r="K32" i="5"/>
  <c r="K33" i="5"/>
  <c r="K34" i="5"/>
  <c r="K29" i="5"/>
  <c r="J30" i="5"/>
  <c r="J31" i="5"/>
  <c r="J32" i="5"/>
  <c r="J33" i="5"/>
  <c r="J34" i="5"/>
  <c r="J29" i="5"/>
  <c r="I30" i="5"/>
  <c r="I31" i="5"/>
  <c r="I32" i="5"/>
  <c r="I33" i="5"/>
  <c r="I34" i="5"/>
  <c r="I29" i="5"/>
  <c r="K19" i="5"/>
  <c r="K20" i="5"/>
  <c r="K21" i="5"/>
  <c r="K22" i="5"/>
  <c r="K23" i="5"/>
  <c r="K18" i="5"/>
  <c r="J19" i="5"/>
  <c r="J20" i="5"/>
  <c r="J21" i="5"/>
  <c r="J22" i="5"/>
  <c r="J23" i="5"/>
  <c r="J18" i="5"/>
  <c r="I19" i="5"/>
  <c r="I20" i="5"/>
  <c r="I21" i="5"/>
  <c r="I22" i="5"/>
  <c r="I23" i="5"/>
  <c r="I18" i="5"/>
  <c r="K8" i="5"/>
  <c r="K9" i="5"/>
  <c r="K10" i="5"/>
  <c r="K11" i="5"/>
  <c r="K12" i="5"/>
  <c r="K7" i="5"/>
  <c r="J8" i="5"/>
  <c r="J9" i="5"/>
  <c r="J10" i="5"/>
  <c r="J11" i="5"/>
  <c r="J12" i="5"/>
  <c r="J7" i="5"/>
  <c r="I8" i="5"/>
  <c r="I9" i="5"/>
  <c r="I10" i="5"/>
  <c r="I11" i="5"/>
  <c r="I12" i="5"/>
  <c r="I7" i="5"/>
  <c r="E58" i="18" l="1"/>
  <c r="L28" i="18"/>
  <c r="P28" i="18" s="1"/>
  <c r="G66" i="18"/>
  <c r="F45" i="18"/>
  <c r="L45" i="18" s="1"/>
  <c r="H33" i="18"/>
  <c r="O33" i="18" s="1"/>
  <c r="F54" i="18"/>
  <c r="M54" i="18" s="1"/>
  <c r="F59" i="18"/>
  <c r="K42" i="18"/>
  <c r="F42" i="18"/>
  <c r="L42" i="18" s="1"/>
  <c r="F43" i="18"/>
  <c r="L43" i="18" s="1"/>
  <c r="F80" i="18"/>
  <c r="M80" i="18" s="1"/>
  <c r="F55" i="18"/>
  <c r="M55" i="18" s="1"/>
  <c r="H29" i="18"/>
  <c r="O29" i="18" s="1"/>
  <c r="F56" i="18"/>
  <c r="M56" i="18" s="1"/>
  <c r="F79" i="18"/>
  <c r="M79" i="18" s="1"/>
  <c r="F81" i="18"/>
  <c r="K66" i="18"/>
  <c r="H30" i="18"/>
  <c r="O30" i="18" s="1"/>
  <c r="N30" i="18"/>
  <c r="K68" i="18"/>
  <c r="F82" i="18"/>
  <c r="M82" i="18" s="1"/>
  <c r="H31" i="18"/>
  <c r="F46" i="18"/>
  <c r="L46" i="18" s="1"/>
  <c r="L58" i="18"/>
  <c r="F58" i="18"/>
  <c r="M58" i="18" s="1"/>
  <c r="H32" i="18"/>
  <c r="O32" i="18" s="1"/>
  <c r="K47" i="18"/>
  <c r="M47" i="18" s="1"/>
  <c r="C14" i="18" s="1"/>
  <c r="F78" i="18"/>
  <c r="M78" i="18" s="1"/>
  <c r="J55" i="18"/>
  <c r="N55" i="18" s="1"/>
  <c r="J81" i="18"/>
  <c r="N81" i="18" s="1"/>
  <c r="L29" i="18"/>
  <c r="P29" i="18" s="1"/>
  <c r="E43" i="18"/>
  <c r="K43" i="18" s="1"/>
  <c r="E46" i="18"/>
  <c r="K46" i="18" s="1"/>
  <c r="E59" i="18"/>
  <c r="L59" i="18" s="1"/>
  <c r="E66" i="18"/>
  <c r="J66" i="18" s="1"/>
  <c r="K69" i="18"/>
  <c r="G71" i="18"/>
  <c r="K71" i="18" s="1"/>
  <c r="E56" i="18"/>
  <c r="L56" i="18" s="1"/>
  <c r="O56" i="18" s="1"/>
  <c r="D11" i="18" s="1"/>
  <c r="K11" i="18" s="1"/>
  <c r="F57" i="18"/>
  <c r="H58" i="18"/>
  <c r="G68" i="18"/>
  <c r="E82" i="18"/>
  <c r="L82" i="18" s="1"/>
  <c r="F83" i="18"/>
  <c r="M83" i="18" s="1"/>
  <c r="E83" i="18"/>
  <c r="L83" i="18" s="1"/>
  <c r="F33" i="18"/>
  <c r="N33" i="18" s="1"/>
  <c r="E42" i="18"/>
  <c r="E45" i="18"/>
  <c r="K45" i="18" s="1"/>
  <c r="M45" i="18" s="1"/>
  <c r="C12" i="18" s="1"/>
  <c r="J12" i="18" s="1"/>
  <c r="E55" i="18"/>
  <c r="L55" i="18" s="1"/>
  <c r="O55" i="18" s="1"/>
  <c r="D10" i="18" s="1"/>
  <c r="K10" i="18" s="1"/>
  <c r="H57" i="18"/>
  <c r="J59" i="18"/>
  <c r="N59" i="18" s="1"/>
  <c r="J68" i="18"/>
  <c r="E70" i="18"/>
  <c r="J70" i="18" s="1"/>
  <c r="E81" i="18"/>
  <c r="L81" i="18" s="1"/>
  <c r="H83" i="18"/>
  <c r="E57" i="18"/>
  <c r="L57" i="18" s="1"/>
  <c r="F32" i="18"/>
  <c r="N32" i="18" s="1"/>
  <c r="E54" i="18"/>
  <c r="L54" i="18" s="1"/>
  <c r="H56" i="18"/>
  <c r="J58" i="18"/>
  <c r="N58" i="18" s="1"/>
  <c r="G70" i="18"/>
  <c r="K70" i="18" s="1"/>
  <c r="E80" i="18"/>
  <c r="L80" i="18" s="1"/>
  <c r="O80" i="18" s="1"/>
  <c r="F11" i="18" s="1"/>
  <c r="H82" i="18"/>
  <c r="H43" i="18"/>
  <c r="E68" i="18"/>
  <c r="F31" i="18"/>
  <c r="N31" i="18" s="1"/>
  <c r="J33" i="18"/>
  <c r="H42" i="18"/>
  <c r="H45" i="18"/>
  <c r="H55" i="18"/>
  <c r="J57" i="18"/>
  <c r="N57" i="18" s="1"/>
  <c r="E79" i="18"/>
  <c r="L79" i="18" s="1"/>
  <c r="O79" i="18" s="1"/>
  <c r="F10" i="18" s="1"/>
  <c r="H81" i="18"/>
  <c r="J83" i="18"/>
  <c r="N83" i="18" s="1"/>
  <c r="H46" i="18"/>
  <c r="H59" i="18"/>
  <c r="F30" i="18"/>
  <c r="J32" i="18"/>
  <c r="H54" i="18"/>
  <c r="J56" i="18"/>
  <c r="N56" i="18" s="1"/>
  <c r="E67" i="18"/>
  <c r="J67" i="18" s="1"/>
  <c r="E78" i="18"/>
  <c r="L78" i="18" s="1"/>
  <c r="O78" i="18" s="1"/>
  <c r="H80" i="18"/>
  <c r="J82" i="18"/>
  <c r="N82" i="18" s="1"/>
  <c r="F28" i="18"/>
  <c r="N28" i="18" s="1"/>
  <c r="Q28" i="18" s="1"/>
  <c r="J30" i="18"/>
  <c r="L32" i="18"/>
  <c r="P32" i="18" s="1"/>
  <c r="J54" i="18"/>
  <c r="N54" i="18" s="1"/>
  <c r="E69" i="18"/>
  <c r="J69" i="18" s="1"/>
  <c r="L69" i="18" s="1"/>
  <c r="E12" i="18" s="1"/>
  <c r="L12" i="18" s="1"/>
  <c r="H78" i="18"/>
  <c r="J80" i="18"/>
  <c r="N80" i="18" s="1"/>
  <c r="J31" i="18"/>
  <c r="L33" i="18"/>
  <c r="P33" i="18" s="1"/>
  <c r="E47" i="18"/>
  <c r="G67" i="18"/>
  <c r="K67" i="18" s="1"/>
  <c r="H79" i="18"/>
  <c r="J29" i="18"/>
  <c r="L31" i="18"/>
  <c r="P31" i="18" s="1"/>
  <c r="H44" i="18"/>
  <c r="H47" i="18"/>
  <c r="G69" i="18"/>
  <c r="J79" i="18"/>
  <c r="N79" i="18" s="1"/>
  <c r="F29" i="18"/>
  <c r="N29" i="18" s="1"/>
  <c r="Q29" i="18" s="1"/>
  <c r="B10" i="18" s="1"/>
  <c r="I10" i="18" s="1"/>
  <c r="E44" i="18"/>
  <c r="K44" i="18" s="1"/>
  <c r="M44" i="18" s="1"/>
  <c r="C11" i="18" s="1"/>
  <c r="J11" i="18" s="1"/>
  <c r="J28" i="18"/>
  <c r="L30" i="18"/>
  <c r="P30" i="18" s="1"/>
  <c r="E71" i="18"/>
  <c r="J71" i="18" s="1"/>
  <c r="N3" i="5"/>
  <c r="I83" i="17"/>
  <c r="I82" i="17"/>
  <c r="I81" i="17"/>
  <c r="I80" i="17"/>
  <c r="I79" i="17"/>
  <c r="I78" i="17"/>
  <c r="I59" i="17"/>
  <c r="I58" i="17"/>
  <c r="I57" i="17"/>
  <c r="I56" i="17"/>
  <c r="I55" i="17"/>
  <c r="I54" i="17"/>
  <c r="K33" i="17"/>
  <c r="K32" i="17"/>
  <c r="K31" i="17"/>
  <c r="K30" i="17"/>
  <c r="K29" i="17"/>
  <c r="K28" i="17"/>
  <c r="M14" i="17"/>
  <c r="T45" i="8" s="1"/>
  <c r="J14" i="17"/>
  <c r="Q45" i="8" s="1"/>
  <c r="M13" i="17"/>
  <c r="T44" i="8" s="1"/>
  <c r="M11" i="17"/>
  <c r="T42" i="8" s="1"/>
  <c r="I11" i="17"/>
  <c r="P42" i="8" s="1"/>
  <c r="M10" i="17"/>
  <c r="T41" i="8" s="1"/>
  <c r="J10" i="17"/>
  <c r="Q41" i="8" s="1"/>
  <c r="M9" i="17"/>
  <c r="T40" i="8" s="1"/>
  <c r="C4" i="17"/>
  <c r="E70" i="17" s="1"/>
  <c r="I83" i="16"/>
  <c r="I82" i="16"/>
  <c r="I81" i="16"/>
  <c r="I80" i="16"/>
  <c r="I79" i="16"/>
  <c r="I78" i="16"/>
  <c r="I59" i="16"/>
  <c r="I58" i="16"/>
  <c r="I57" i="16"/>
  <c r="I56" i="16"/>
  <c r="I55" i="16"/>
  <c r="I54" i="16"/>
  <c r="K33" i="16"/>
  <c r="K32" i="16"/>
  <c r="K31" i="16"/>
  <c r="K30" i="16"/>
  <c r="K29" i="16"/>
  <c r="K28" i="16"/>
  <c r="M14" i="16"/>
  <c r="T30" i="8" s="1"/>
  <c r="J14" i="16"/>
  <c r="Q30" i="8" s="1"/>
  <c r="M13" i="16"/>
  <c r="T29" i="8" s="1"/>
  <c r="M11" i="16"/>
  <c r="T27" i="8" s="1"/>
  <c r="I11" i="16"/>
  <c r="P27" i="8" s="1"/>
  <c r="M10" i="16"/>
  <c r="T26" i="8" s="1"/>
  <c r="J10" i="16"/>
  <c r="Q26" i="8" s="1"/>
  <c r="M9" i="16"/>
  <c r="T25" i="8" s="1"/>
  <c r="C4" i="16"/>
  <c r="E66" i="16" s="1"/>
  <c r="I83" i="15"/>
  <c r="I82" i="15"/>
  <c r="I81" i="15"/>
  <c r="I80" i="15"/>
  <c r="I79" i="15"/>
  <c r="I78" i="15"/>
  <c r="I59" i="15"/>
  <c r="I58" i="15"/>
  <c r="I57" i="15"/>
  <c r="I56" i="15"/>
  <c r="I55" i="15"/>
  <c r="I54" i="15"/>
  <c r="K33" i="15"/>
  <c r="K32" i="15"/>
  <c r="K31" i="15"/>
  <c r="K30" i="15"/>
  <c r="K29" i="15"/>
  <c r="K28" i="15"/>
  <c r="M14" i="15"/>
  <c r="T15" i="8" s="1"/>
  <c r="J14" i="15"/>
  <c r="Q15" i="8" s="1"/>
  <c r="M13" i="15"/>
  <c r="T14" i="8" s="1"/>
  <c r="M11" i="15"/>
  <c r="T12" i="8" s="1"/>
  <c r="I11" i="15"/>
  <c r="P12" i="8" s="1"/>
  <c r="M10" i="15"/>
  <c r="T11" i="8" s="1"/>
  <c r="J10" i="15"/>
  <c r="Q11" i="8" s="1"/>
  <c r="M9" i="15"/>
  <c r="T10" i="8" s="1"/>
  <c r="C4" i="15"/>
  <c r="E82" i="15" s="1"/>
  <c r="I83" i="14"/>
  <c r="I82" i="14"/>
  <c r="I81" i="14"/>
  <c r="I80" i="14"/>
  <c r="I79" i="14"/>
  <c r="I78" i="14"/>
  <c r="I59" i="14"/>
  <c r="I58" i="14"/>
  <c r="J57" i="14"/>
  <c r="I57" i="14"/>
  <c r="I56" i="14"/>
  <c r="I55" i="14"/>
  <c r="I54" i="14"/>
  <c r="K33" i="14"/>
  <c r="K32" i="14"/>
  <c r="K31" i="14"/>
  <c r="K30" i="14"/>
  <c r="K29" i="14"/>
  <c r="K28" i="14"/>
  <c r="M14" i="14"/>
  <c r="M45" i="8" s="1"/>
  <c r="J14" i="14"/>
  <c r="J45" i="8" s="1"/>
  <c r="M13" i="14"/>
  <c r="M44" i="8" s="1"/>
  <c r="M11" i="14"/>
  <c r="M42" i="8" s="1"/>
  <c r="I11" i="14"/>
  <c r="I42" i="8" s="1"/>
  <c r="M10" i="14"/>
  <c r="M41" i="8" s="1"/>
  <c r="J10" i="14"/>
  <c r="J41" i="8" s="1"/>
  <c r="M9" i="14"/>
  <c r="M40" i="8" s="1"/>
  <c r="C4" i="14"/>
  <c r="J82" i="14" s="1"/>
  <c r="I83" i="13"/>
  <c r="I82" i="13"/>
  <c r="I81" i="13"/>
  <c r="I80" i="13"/>
  <c r="I79" i="13"/>
  <c r="I78" i="13"/>
  <c r="I59" i="13"/>
  <c r="I58" i="13"/>
  <c r="I57" i="13"/>
  <c r="I56" i="13"/>
  <c r="I55" i="13"/>
  <c r="I54" i="13"/>
  <c r="K33" i="13"/>
  <c r="K32" i="13"/>
  <c r="K31" i="13"/>
  <c r="K30" i="13"/>
  <c r="K29" i="13"/>
  <c r="K28" i="13"/>
  <c r="M14" i="13"/>
  <c r="M30" i="8" s="1"/>
  <c r="J14" i="13"/>
  <c r="J30" i="8" s="1"/>
  <c r="M13" i="13"/>
  <c r="M29" i="8" s="1"/>
  <c r="M11" i="13"/>
  <c r="M27" i="8" s="1"/>
  <c r="I11" i="13"/>
  <c r="I27" i="8" s="1"/>
  <c r="M10" i="13"/>
  <c r="M26" i="8" s="1"/>
  <c r="J10" i="13"/>
  <c r="J26" i="8" s="1"/>
  <c r="M9" i="13"/>
  <c r="M25" i="8" s="1"/>
  <c r="C4" i="13"/>
  <c r="I83" i="12"/>
  <c r="I82" i="12"/>
  <c r="I81" i="12"/>
  <c r="I80" i="12"/>
  <c r="I79" i="12"/>
  <c r="I78" i="12"/>
  <c r="I59" i="12"/>
  <c r="I58" i="12"/>
  <c r="I57" i="12"/>
  <c r="I56" i="12"/>
  <c r="I55" i="12"/>
  <c r="I54" i="12"/>
  <c r="K33" i="12"/>
  <c r="K32" i="12"/>
  <c r="K31" i="12"/>
  <c r="J31" i="12"/>
  <c r="K30" i="12"/>
  <c r="L29" i="12"/>
  <c r="K29" i="12"/>
  <c r="K28" i="12"/>
  <c r="M14" i="12"/>
  <c r="M15" i="8" s="1"/>
  <c r="J14" i="12"/>
  <c r="J15" i="8" s="1"/>
  <c r="M13" i="12"/>
  <c r="M14" i="8" s="1"/>
  <c r="M11" i="12"/>
  <c r="M12" i="8" s="1"/>
  <c r="I11" i="12"/>
  <c r="I12" i="8" s="1"/>
  <c r="M10" i="12"/>
  <c r="M11" i="8" s="1"/>
  <c r="J10" i="12"/>
  <c r="J11" i="8" s="1"/>
  <c r="M9" i="12"/>
  <c r="M10" i="8" s="1"/>
  <c r="C4" i="12"/>
  <c r="H57" i="12" s="1"/>
  <c r="I83" i="11"/>
  <c r="I82" i="11"/>
  <c r="I81" i="11"/>
  <c r="I80" i="11"/>
  <c r="I79" i="11"/>
  <c r="I78" i="11"/>
  <c r="I59" i="11"/>
  <c r="I58" i="11"/>
  <c r="I57" i="11"/>
  <c r="I56" i="11"/>
  <c r="I55" i="11"/>
  <c r="I54" i="11"/>
  <c r="K33" i="11"/>
  <c r="K32" i="11"/>
  <c r="K31" i="11"/>
  <c r="K30" i="11"/>
  <c r="K29" i="11"/>
  <c r="K28" i="11"/>
  <c r="M14" i="11"/>
  <c r="F45" i="8" s="1"/>
  <c r="J14" i="11"/>
  <c r="C45" i="8" s="1"/>
  <c r="M13" i="11"/>
  <c r="F44" i="8" s="1"/>
  <c r="M11" i="11"/>
  <c r="F42" i="8" s="1"/>
  <c r="I11" i="11"/>
  <c r="B42" i="8" s="1"/>
  <c r="M10" i="11"/>
  <c r="F41" i="8" s="1"/>
  <c r="J10" i="11"/>
  <c r="C41" i="8" s="1"/>
  <c r="M9" i="11"/>
  <c r="F40" i="8" s="1"/>
  <c r="C4" i="11"/>
  <c r="E81" i="11" s="1"/>
  <c r="I83" i="10"/>
  <c r="I82" i="10"/>
  <c r="I81" i="10"/>
  <c r="I80" i="10"/>
  <c r="I79" i="10"/>
  <c r="I78" i="10"/>
  <c r="I59" i="10"/>
  <c r="I58" i="10"/>
  <c r="I57" i="10"/>
  <c r="I56" i="10"/>
  <c r="I55" i="10"/>
  <c r="I54" i="10"/>
  <c r="K33" i="10"/>
  <c r="K32" i="10"/>
  <c r="K31" i="10"/>
  <c r="K30" i="10"/>
  <c r="K29" i="10"/>
  <c r="K28" i="10"/>
  <c r="M14" i="10"/>
  <c r="J14" i="10"/>
  <c r="C30" i="8" s="1"/>
  <c r="M13" i="10"/>
  <c r="M11" i="10"/>
  <c r="I11" i="10"/>
  <c r="B27" i="8" s="1"/>
  <c r="M10" i="10"/>
  <c r="J10" i="10"/>
  <c r="C26" i="8" s="1"/>
  <c r="M9" i="10"/>
  <c r="C4" i="10"/>
  <c r="J31" i="10" s="1"/>
  <c r="M57" i="18" l="1"/>
  <c r="O57" i="18" s="1"/>
  <c r="D12" i="18" s="1"/>
  <c r="K12" i="18" s="1"/>
  <c r="L67" i="18"/>
  <c r="E10" i="18" s="1"/>
  <c r="L10" i="18" s="1"/>
  <c r="Q32" i="18"/>
  <c r="B13" i="18" s="1"/>
  <c r="O83" i="18"/>
  <c r="F14" i="18" s="1"/>
  <c r="M46" i="18"/>
  <c r="C13" i="18" s="1"/>
  <c r="J13" i="18" s="1"/>
  <c r="O58" i="18"/>
  <c r="D13" i="18" s="1"/>
  <c r="K13" i="18" s="1"/>
  <c r="M43" i="18"/>
  <c r="C10" i="18" s="1"/>
  <c r="L66" i="18"/>
  <c r="O82" i="18"/>
  <c r="F13" i="18" s="1"/>
  <c r="L70" i="18"/>
  <c r="E13" i="18" s="1"/>
  <c r="L13" i="18" s="1"/>
  <c r="L71" i="18"/>
  <c r="E14" i="18" s="1"/>
  <c r="L14" i="18" s="1"/>
  <c r="E9" i="18"/>
  <c r="Q33" i="18"/>
  <c r="B14" i="18" s="1"/>
  <c r="I14" i="18" s="1"/>
  <c r="L68" i="18"/>
  <c r="E11" i="18" s="1"/>
  <c r="L11" i="18" s="1"/>
  <c r="Q30" i="18"/>
  <c r="B11" i="18" s="1"/>
  <c r="M42" i="18"/>
  <c r="O54" i="18"/>
  <c r="M59" i="18"/>
  <c r="O59" i="18" s="1"/>
  <c r="D14" i="18" s="1"/>
  <c r="K14" i="18" s="1"/>
  <c r="F9" i="18"/>
  <c r="O31" i="18"/>
  <c r="Q31" i="18" s="1"/>
  <c r="B12" i="18" s="1"/>
  <c r="I12" i="18" s="1"/>
  <c r="M81" i="18"/>
  <c r="O81" i="18" s="1"/>
  <c r="F12" i="18" s="1"/>
  <c r="M12" i="18" s="1"/>
  <c r="B9" i="18"/>
  <c r="E47" i="16"/>
  <c r="H42" i="14"/>
  <c r="G67" i="15"/>
  <c r="E70" i="15"/>
  <c r="F33" i="16"/>
  <c r="H46" i="14"/>
  <c r="F28" i="15"/>
  <c r="G67" i="13"/>
  <c r="E45" i="13"/>
  <c r="L33" i="13"/>
  <c r="F33" i="12"/>
  <c r="E43" i="12"/>
  <c r="E59" i="12"/>
  <c r="G67" i="12"/>
  <c r="H44" i="14"/>
  <c r="E68" i="14"/>
  <c r="E58" i="15"/>
  <c r="E44" i="16"/>
  <c r="F33" i="10"/>
  <c r="E47" i="12"/>
  <c r="E43" i="16"/>
  <c r="E43" i="10"/>
  <c r="E47" i="10"/>
  <c r="E70" i="10"/>
  <c r="H55" i="14"/>
  <c r="L33" i="15"/>
  <c r="J55" i="15"/>
  <c r="N55" i="15" s="1"/>
  <c r="J55" i="16"/>
  <c r="N55" i="16" s="1"/>
  <c r="G71" i="16"/>
  <c r="L29" i="17"/>
  <c r="P29" i="17" s="1"/>
  <c r="J31" i="17"/>
  <c r="E43" i="17"/>
  <c r="E47" i="17"/>
  <c r="E59" i="17"/>
  <c r="G67" i="17"/>
  <c r="E46" i="17"/>
  <c r="J55" i="17"/>
  <c r="N55" i="17" s="1"/>
  <c r="E66" i="17"/>
  <c r="F29" i="17"/>
  <c r="L33" i="17"/>
  <c r="P33" i="17" s="1"/>
  <c r="E45" i="17"/>
  <c r="J59" i="17"/>
  <c r="N59" i="17" s="1"/>
  <c r="G71" i="17"/>
  <c r="E44" i="17"/>
  <c r="E55" i="17"/>
  <c r="J82" i="17"/>
  <c r="N82" i="17" s="1"/>
  <c r="E82" i="17"/>
  <c r="H80" i="17"/>
  <c r="J78" i="17"/>
  <c r="N78" i="17" s="1"/>
  <c r="E78" i="17"/>
  <c r="E71" i="17"/>
  <c r="G68" i="17"/>
  <c r="E67" i="17"/>
  <c r="H58" i="17"/>
  <c r="J56" i="17"/>
  <c r="N56" i="17" s="1"/>
  <c r="E56" i="17"/>
  <c r="H54" i="17"/>
  <c r="J32" i="17"/>
  <c r="L30" i="17"/>
  <c r="P30" i="17" s="1"/>
  <c r="F30" i="17"/>
  <c r="J28" i="17"/>
  <c r="J83" i="17"/>
  <c r="E83" i="17"/>
  <c r="H81" i="17"/>
  <c r="J79" i="17"/>
  <c r="N79" i="17" s="1"/>
  <c r="E79" i="17"/>
  <c r="G69" i="17"/>
  <c r="E68" i="17"/>
  <c r="H59" i="17"/>
  <c r="J57" i="17"/>
  <c r="N57" i="17" s="1"/>
  <c r="E57" i="17"/>
  <c r="H55" i="17"/>
  <c r="H47" i="17"/>
  <c r="H46" i="17"/>
  <c r="H45" i="17"/>
  <c r="H44" i="17"/>
  <c r="H43" i="17"/>
  <c r="H42" i="17"/>
  <c r="J33" i="17"/>
  <c r="L31" i="17"/>
  <c r="P31" i="17" s="1"/>
  <c r="F31" i="17"/>
  <c r="J29" i="17"/>
  <c r="H83" i="17"/>
  <c r="E81" i="17"/>
  <c r="H82" i="17"/>
  <c r="J80" i="17"/>
  <c r="N80" i="17" s="1"/>
  <c r="E80" i="17"/>
  <c r="H78" i="17"/>
  <c r="G70" i="17"/>
  <c r="E69" i="17"/>
  <c r="G66" i="17"/>
  <c r="J58" i="17"/>
  <c r="N58" i="17" s="1"/>
  <c r="E58" i="17"/>
  <c r="H56" i="17"/>
  <c r="J54" i="17"/>
  <c r="N54" i="17" s="1"/>
  <c r="E54" i="17"/>
  <c r="L32" i="17"/>
  <c r="P32" i="17" s="1"/>
  <c r="F32" i="17"/>
  <c r="J30" i="17"/>
  <c r="L28" i="17"/>
  <c r="P28" i="17" s="1"/>
  <c r="F28" i="17"/>
  <c r="J81" i="17"/>
  <c r="H79" i="17"/>
  <c r="F33" i="17"/>
  <c r="H57" i="17"/>
  <c r="E42" i="17"/>
  <c r="N81" i="17"/>
  <c r="N83" i="17"/>
  <c r="E42" i="16"/>
  <c r="E46" i="16"/>
  <c r="E59" i="16"/>
  <c r="L33" i="16"/>
  <c r="P33" i="16" s="1"/>
  <c r="E45" i="16"/>
  <c r="F29" i="16"/>
  <c r="G67" i="16"/>
  <c r="E70" i="16"/>
  <c r="E55" i="16"/>
  <c r="J59" i="16"/>
  <c r="N59" i="16" s="1"/>
  <c r="J82" i="16"/>
  <c r="N82" i="16" s="1"/>
  <c r="E82" i="16"/>
  <c r="H80" i="16"/>
  <c r="J78" i="16"/>
  <c r="N78" i="16" s="1"/>
  <c r="E78" i="16"/>
  <c r="E71" i="16"/>
  <c r="G68" i="16"/>
  <c r="E67" i="16"/>
  <c r="H58" i="16"/>
  <c r="J56" i="16"/>
  <c r="N56" i="16" s="1"/>
  <c r="E56" i="16"/>
  <c r="H54" i="16"/>
  <c r="J32" i="16"/>
  <c r="L30" i="16"/>
  <c r="P30" i="16" s="1"/>
  <c r="F30" i="16"/>
  <c r="J28" i="16"/>
  <c r="J83" i="16"/>
  <c r="N83" i="16" s="1"/>
  <c r="E83" i="16"/>
  <c r="H81" i="16"/>
  <c r="J79" i="16"/>
  <c r="N79" i="16" s="1"/>
  <c r="E79" i="16"/>
  <c r="G69" i="16"/>
  <c r="E68" i="16"/>
  <c r="H59" i="16"/>
  <c r="J57" i="16"/>
  <c r="N57" i="16" s="1"/>
  <c r="E57" i="16"/>
  <c r="H55" i="16"/>
  <c r="H47" i="16"/>
  <c r="H46" i="16"/>
  <c r="H45" i="16"/>
  <c r="H44" i="16"/>
  <c r="H43" i="16"/>
  <c r="H42" i="16"/>
  <c r="J33" i="16"/>
  <c r="L31" i="16"/>
  <c r="P31" i="16" s="1"/>
  <c r="F31" i="16"/>
  <c r="J29" i="16"/>
  <c r="H83" i="16"/>
  <c r="E81" i="16"/>
  <c r="H82" i="16"/>
  <c r="J80" i="16"/>
  <c r="N80" i="16" s="1"/>
  <c r="E80" i="16"/>
  <c r="H78" i="16"/>
  <c r="G70" i="16"/>
  <c r="E69" i="16"/>
  <c r="G66" i="16"/>
  <c r="J58" i="16"/>
  <c r="N58" i="16" s="1"/>
  <c r="E58" i="16"/>
  <c r="H56" i="16"/>
  <c r="J54" i="16"/>
  <c r="N54" i="16" s="1"/>
  <c r="E54" i="16"/>
  <c r="L32" i="16"/>
  <c r="P32" i="16" s="1"/>
  <c r="F32" i="16"/>
  <c r="J30" i="16"/>
  <c r="L28" i="16"/>
  <c r="P28" i="16" s="1"/>
  <c r="F28" i="16"/>
  <c r="J81" i="16"/>
  <c r="H79" i="16"/>
  <c r="L29" i="16"/>
  <c r="P29" i="16" s="1"/>
  <c r="J31" i="16"/>
  <c r="H57" i="16"/>
  <c r="N81" i="16"/>
  <c r="L29" i="15"/>
  <c r="F32" i="15"/>
  <c r="E45" i="15"/>
  <c r="J54" i="15"/>
  <c r="N54" i="15" s="1"/>
  <c r="H57" i="15"/>
  <c r="H58" i="15"/>
  <c r="E59" i="15"/>
  <c r="G66" i="15"/>
  <c r="J78" i="15"/>
  <c r="H80" i="15"/>
  <c r="J81" i="15"/>
  <c r="N81" i="15" s="1"/>
  <c r="P29" i="15"/>
  <c r="L28" i="15"/>
  <c r="P28" i="15" s="1"/>
  <c r="J31" i="15"/>
  <c r="J32" i="15"/>
  <c r="F33" i="15"/>
  <c r="E44" i="15"/>
  <c r="H56" i="15"/>
  <c r="E71" i="15"/>
  <c r="H83" i="15"/>
  <c r="N78" i="15"/>
  <c r="J30" i="15"/>
  <c r="E54" i="15"/>
  <c r="J59" i="15"/>
  <c r="N59" i="15" s="1"/>
  <c r="E67" i="15"/>
  <c r="P33" i="15"/>
  <c r="N80" i="15"/>
  <c r="J83" i="15"/>
  <c r="N83" i="15" s="1"/>
  <c r="E83" i="15"/>
  <c r="H81" i="15"/>
  <c r="J79" i="15"/>
  <c r="N79" i="15" s="1"/>
  <c r="E79" i="15"/>
  <c r="G69" i="15"/>
  <c r="E68" i="15"/>
  <c r="H59" i="15"/>
  <c r="J57" i="15"/>
  <c r="N57" i="15" s="1"/>
  <c r="E57" i="15"/>
  <c r="H55" i="15"/>
  <c r="H47" i="15"/>
  <c r="H46" i="15"/>
  <c r="H45" i="15"/>
  <c r="H44" i="15"/>
  <c r="H43" i="15"/>
  <c r="H42" i="15"/>
  <c r="J33" i="15"/>
  <c r="L31" i="15"/>
  <c r="P31" i="15" s="1"/>
  <c r="F31" i="15"/>
  <c r="J29" i="15"/>
  <c r="H82" i="15"/>
  <c r="J80" i="15"/>
  <c r="E80" i="15"/>
  <c r="H78" i="15"/>
  <c r="G70" i="15"/>
  <c r="J28" i="15"/>
  <c r="F29" i="15"/>
  <c r="F30" i="15"/>
  <c r="L30" i="15"/>
  <c r="P30" i="15" s="1"/>
  <c r="E43" i="15"/>
  <c r="E47" i="15"/>
  <c r="H54" i="15"/>
  <c r="E55" i="15"/>
  <c r="E56" i="15"/>
  <c r="J56" i="15"/>
  <c r="N56" i="15" s="1"/>
  <c r="G68" i="15"/>
  <c r="G71" i="15"/>
  <c r="E78" i="15"/>
  <c r="H79" i="15"/>
  <c r="E81" i="15"/>
  <c r="L32" i="15"/>
  <c r="P32" i="15" s="1"/>
  <c r="E42" i="15"/>
  <c r="E46" i="15"/>
  <c r="J58" i="15"/>
  <c r="N58" i="15" s="1"/>
  <c r="E66" i="15"/>
  <c r="E69" i="15"/>
  <c r="J82" i="15"/>
  <c r="N82" i="15" s="1"/>
  <c r="J59" i="13"/>
  <c r="G71" i="13"/>
  <c r="F29" i="13"/>
  <c r="F31" i="14"/>
  <c r="J33" i="14"/>
  <c r="J79" i="14"/>
  <c r="N79" i="14" s="1"/>
  <c r="E83" i="14"/>
  <c r="H43" i="14"/>
  <c r="H45" i="14"/>
  <c r="H47" i="14"/>
  <c r="E57" i="14"/>
  <c r="H59" i="14"/>
  <c r="J29" i="14"/>
  <c r="L31" i="14"/>
  <c r="G69" i="14"/>
  <c r="E79" i="14"/>
  <c r="H81" i="14"/>
  <c r="J83" i="14"/>
  <c r="N83" i="14" s="1"/>
  <c r="P31" i="14"/>
  <c r="N57" i="14"/>
  <c r="N82" i="14"/>
  <c r="F29" i="14"/>
  <c r="L29" i="14"/>
  <c r="P29" i="14" s="1"/>
  <c r="J31" i="14"/>
  <c r="F33" i="14"/>
  <c r="L33" i="14"/>
  <c r="P33" i="14" s="1"/>
  <c r="E42" i="14"/>
  <c r="E43" i="14"/>
  <c r="E44" i="14"/>
  <c r="E45" i="14"/>
  <c r="E46" i="14"/>
  <c r="E47" i="14"/>
  <c r="E55" i="14"/>
  <c r="J55" i="14"/>
  <c r="N55" i="14" s="1"/>
  <c r="H57" i="14"/>
  <c r="E59" i="14"/>
  <c r="J59" i="14"/>
  <c r="N59" i="14" s="1"/>
  <c r="E66" i="14"/>
  <c r="G67" i="14"/>
  <c r="E70" i="14"/>
  <c r="G71" i="14"/>
  <c r="H79" i="14"/>
  <c r="E81" i="14"/>
  <c r="J81" i="14"/>
  <c r="N81" i="14" s="1"/>
  <c r="H83" i="14"/>
  <c r="F28" i="14"/>
  <c r="L28" i="14"/>
  <c r="P28" i="14" s="1"/>
  <c r="J30" i="14"/>
  <c r="F32" i="14"/>
  <c r="L32" i="14"/>
  <c r="P32" i="14" s="1"/>
  <c r="E54" i="14"/>
  <c r="J54" i="14"/>
  <c r="N54" i="14" s="1"/>
  <c r="H56" i="14"/>
  <c r="E58" i="14"/>
  <c r="J58" i="14"/>
  <c r="N58" i="14" s="1"/>
  <c r="G66" i="14"/>
  <c r="E69" i="14"/>
  <c r="G70" i="14"/>
  <c r="H78" i="14"/>
  <c r="E80" i="14"/>
  <c r="J80" i="14"/>
  <c r="N80" i="14" s="1"/>
  <c r="H82" i="14"/>
  <c r="J28" i="14"/>
  <c r="F30" i="14"/>
  <c r="L30" i="14"/>
  <c r="P30" i="14" s="1"/>
  <c r="J32" i="14"/>
  <c r="H54" i="14"/>
  <c r="E56" i="14"/>
  <c r="J56" i="14"/>
  <c r="N56" i="14" s="1"/>
  <c r="H58" i="14"/>
  <c r="E67" i="14"/>
  <c r="G68" i="14"/>
  <c r="E71" i="14"/>
  <c r="E78" i="14"/>
  <c r="J78" i="14"/>
  <c r="N78" i="14" s="1"/>
  <c r="H80" i="14"/>
  <c r="E82" i="14"/>
  <c r="E44" i="13"/>
  <c r="E55" i="13"/>
  <c r="E70" i="13"/>
  <c r="L29" i="13"/>
  <c r="P29" i="13" s="1"/>
  <c r="J31" i="13"/>
  <c r="F33" i="13"/>
  <c r="E43" i="13"/>
  <c r="E47" i="13"/>
  <c r="H57" i="13"/>
  <c r="E59" i="13"/>
  <c r="J82" i="13"/>
  <c r="N82" i="13" s="1"/>
  <c r="E82" i="13"/>
  <c r="H80" i="13"/>
  <c r="J78" i="13"/>
  <c r="N78" i="13" s="1"/>
  <c r="E78" i="13"/>
  <c r="E71" i="13"/>
  <c r="G68" i="13"/>
  <c r="E67" i="13"/>
  <c r="H58" i="13"/>
  <c r="J56" i="13"/>
  <c r="N56" i="13" s="1"/>
  <c r="E56" i="13"/>
  <c r="H54" i="13"/>
  <c r="J32" i="13"/>
  <c r="L30" i="13"/>
  <c r="P30" i="13" s="1"/>
  <c r="F30" i="13"/>
  <c r="J28" i="13"/>
  <c r="J83" i="13"/>
  <c r="N83" i="13" s="1"/>
  <c r="E83" i="13"/>
  <c r="H81" i="13"/>
  <c r="J79" i="13"/>
  <c r="N79" i="13" s="1"/>
  <c r="E79" i="13"/>
  <c r="G69" i="13"/>
  <c r="E68" i="13"/>
  <c r="H59" i="13"/>
  <c r="J57" i="13"/>
  <c r="N57" i="13" s="1"/>
  <c r="E57" i="13"/>
  <c r="H55" i="13"/>
  <c r="H47" i="13"/>
  <c r="H46" i="13"/>
  <c r="H45" i="13"/>
  <c r="H44" i="13"/>
  <c r="H43" i="13"/>
  <c r="H42" i="13"/>
  <c r="J33" i="13"/>
  <c r="L31" i="13"/>
  <c r="F31" i="13"/>
  <c r="J29" i="13"/>
  <c r="H83" i="13"/>
  <c r="E81" i="13"/>
  <c r="H82" i="13"/>
  <c r="J80" i="13"/>
  <c r="N80" i="13" s="1"/>
  <c r="E80" i="13"/>
  <c r="H78" i="13"/>
  <c r="G70" i="13"/>
  <c r="E69" i="13"/>
  <c r="G66" i="13"/>
  <c r="J58" i="13"/>
  <c r="N58" i="13" s="1"/>
  <c r="E58" i="13"/>
  <c r="H56" i="13"/>
  <c r="J54" i="13"/>
  <c r="N54" i="13" s="1"/>
  <c r="E54" i="13"/>
  <c r="L32" i="13"/>
  <c r="P32" i="13" s="1"/>
  <c r="F32" i="13"/>
  <c r="J30" i="13"/>
  <c r="L28" i="13"/>
  <c r="P28" i="13" s="1"/>
  <c r="F28" i="13"/>
  <c r="J81" i="13"/>
  <c r="N81" i="13" s="1"/>
  <c r="H79" i="13"/>
  <c r="P31" i="13"/>
  <c r="P33" i="13"/>
  <c r="E42" i="13"/>
  <c r="E46" i="13"/>
  <c r="J55" i="13"/>
  <c r="N55" i="13" s="1"/>
  <c r="N59" i="13"/>
  <c r="E66" i="13"/>
  <c r="L29" i="11"/>
  <c r="H79" i="11"/>
  <c r="J59" i="11"/>
  <c r="N59" i="11" s="1"/>
  <c r="E43" i="11"/>
  <c r="L29" i="10"/>
  <c r="P29" i="10" s="1"/>
  <c r="J82" i="12"/>
  <c r="N82" i="12" s="1"/>
  <c r="E82" i="12"/>
  <c r="H80" i="12"/>
  <c r="J78" i="12"/>
  <c r="N78" i="12" s="1"/>
  <c r="E78" i="12"/>
  <c r="E71" i="12"/>
  <c r="G68" i="12"/>
  <c r="E67" i="12"/>
  <c r="H58" i="12"/>
  <c r="J56" i="12"/>
  <c r="E56" i="12"/>
  <c r="H54" i="12"/>
  <c r="J32" i="12"/>
  <c r="L30" i="12"/>
  <c r="P30" i="12" s="1"/>
  <c r="F30" i="12"/>
  <c r="J28" i="12"/>
  <c r="E81" i="12"/>
  <c r="J83" i="12"/>
  <c r="E83" i="12"/>
  <c r="H81" i="12"/>
  <c r="J79" i="12"/>
  <c r="N79" i="12" s="1"/>
  <c r="E79" i="12"/>
  <c r="G69" i="12"/>
  <c r="E68" i="12"/>
  <c r="H59" i="12"/>
  <c r="J57" i="12"/>
  <c r="N57" i="12" s="1"/>
  <c r="E57" i="12"/>
  <c r="H55" i="12"/>
  <c r="H47" i="12"/>
  <c r="H46" i="12"/>
  <c r="H45" i="12"/>
  <c r="H44" i="12"/>
  <c r="H43" i="12"/>
  <c r="H42" i="12"/>
  <c r="J33" i="12"/>
  <c r="L31" i="12"/>
  <c r="P31" i="12" s="1"/>
  <c r="F31" i="12"/>
  <c r="J29" i="12"/>
  <c r="H82" i="12"/>
  <c r="J80" i="12"/>
  <c r="N80" i="12" s="1"/>
  <c r="E80" i="12"/>
  <c r="H78" i="12"/>
  <c r="G70" i="12"/>
  <c r="E69" i="12"/>
  <c r="G66" i="12"/>
  <c r="J58" i="12"/>
  <c r="N58" i="12" s="1"/>
  <c r="E58" i="12"/>
  <c r="H56" i="12"/>
  <c r="J54" i="12"/>
  <c r="N54" i="12" s="1"/>
  <c r="E54" i="12"/>
  <c r="L32" i="12"/>
  <c r="P32" i="12" s="1"/>
  <c r="F32" i="12"/>
  <c r="J30" i="12"/>
  <c r="L28" i="12"/>
  <c r="P28" i="12" s="1"/>
  <c r="F28" i="12"/>
  <c r="H83" i="12"/>
  <c r="J81" i="12"/>
  <c r="N81" i="12" s="1"/>
  <c r="E42" i="12"/>
  <c r="E46" i="12"/>
  <c r="J55" i="12"/>
  <c r="N56" i="12"/>
  <c r="E66" i="12"/>
  <c r="H79" i="12"/>
  <c r="F29" i="12"/>
  <c r="L33" i="12"/>
  <c r="P33" i="12" s="1"/>
  <c r="E45" i="12"/>
  <c r="J59" i="12"/>
  <c r="N59" i="12" s="1"/>
  <c r="G71" i="12"/>
  <c r="N55" i="12"/>
  <c r="P29" i="12"/>
  <c r="E44" i="12"/>
  <c r="E55" i="12"/>
  <c r="E70" i="12"/>
  <c r="N83" i="12"/>
  <c r="J82" i="11"/>
  <c r="N82" i="11" s="1"/>
  <c r="E82" i="11"/>
  <c r="H80" i="11"/>
  <c r="J78" i="11"/>
  <c r="N78" i="11" s="1"/>
  <c r="E78" i="11"/>
  <c r="E71" i="11"/>
  <c r="G68" i="11"/>
  <c r="E67" i="11"/>
  <c r="H58" i="11"/>
  <c r="J56" i="11"/>
  <c r="N56" i="11" s="1"/>
  <c r="E56" i="11"/>
  <c r="H54" i="11"/>
  <c r="J32" i="11"/>
  <c r="L30" i="11"/>
  <c r="F30" i="11"/>
  <c r="J28" i="11"/>
  <c r="H78" i="11"/>
  <c r="G70" i="11"/>
  <c r="J83" i="11"/>
  <c r="N83" i="11" s="1"/>
  <c r="E83" i="11"/>
  <c r="H81" i="11"/>
  <c r="J79" i="11"/>
  <c r="N79" i="11" s="1"/>
  <c r="E79" i="11"/>
  <c r="G69" i="11"/>
  <c r="E68" i="11"/>
  <c r="H59" i="11"/>
  <c r="J57" i="11"/>
  <c r="N57" i="11" s="1"/>
  <c r="E57" i="11"/>
  <c r="H55" i="11"/>
  <c r="H47" i="11"/>
  <c r="H46" i="11"/>
  <c r="H45" i="11"/>
  <c r="H44" i="11"/>
  <c r="H43" i="11"/>
  <c r="H42" i="11"/>
  <c r="J33" i="11"/>
  <c r="L31" i="11"/>
  <c r="P31" i="11" s="1"/>
  <c r="F31" i="11"/>
  <c r="J29" i="11"/>
  <c r="H82" i="11"/>
  <c r="J80" i="11"/>
  <c r="N80" i="11" s="1"/>
  <c r="E80" i="11"/>
  <c r="L28" i="11"/>
  <c r="P28" i="11" s="1"/>
  <c r="F29" i="11"/>
  <c r="J30" i="11"/>
  <c r="F32" i="11"/>
  <c r="E44" i="11"/>
  <c r="E46" i="11"/>
  <c r="E54" i="11"/>
  <c r="H57" i="11"/>
  <c r="J58" i="11"/>
  <c r="N58" i="11" s="1"/>
  <c r="E59" i="11"/>
  <c r="E66" i="11"/>
  <c r="G67" i="11"/>
  <c r="G71" i="11"/>
  <c r="H83" i="11"/>
  <c r="P30" i="11"/>
  <c r="L33" i="11"/>
  <c r="P33" i="11" s="1"/>
  <c r="J55" i="11"/>
  <c r="N55" i="11" s="1"/>
  <c r="G66" i="11"/>
  <c r="E70" i="11"/>
  <c r="J81" i="11"/>
  <c r="N81" i="11" s="1"/>
  <c r="F28" i="11"/>
  <c r="P29" i="11"/>
  <c r="J31" i="11"/>
  <c r="L32" i="11"/>
  <c r="P32" i="11" s="1"/>
  <c r="F33" i="11"/>
  <c r="E42" i="11"/>
  <c r="E45" i="11"/>
  <c r="E47" i="11"/>
  <c r="J54" i="11"/>
  <c r="N54" i="11" s="1"/>
  <c r="E55" i="11"/>
  <c r="H56" i="11"/>
  <c r="E58" i="11"/>
  <c r="E69" i="11"/>
  <c r="J82" i="10"/>
  <c r="E82" i="10"/>
  <c r="H80" i="10"/>
  <c r="J78" i="10"/>
  <c r="N78" i="10" s="1"/>
  <c r="E78" i="10"/>
  <c r="E71" i="10"/>
  <c r="G68" i="10"/>
  <c r="E67" i="10"/>
  <c r="H58" i="10"/>
  <c r="J56" i="10"/>
  <c r="E56" i="10"/>
  <c r="H54" i="10"/>
  <c r="J32" i="10"/>
  <c r="L30" i="10"/>
  <c r="P30" i="10" s="1"/>
  <c r="F30" i="10"/>
  <c r="J28" i="10"/>
  <c r="J83" i="10"/>
  <c r="N83" i="10" s="1"/>
  <c r="E83" i="10"/>
  <c r="H81" i="10"/>
  <c r="J79" i="10"/>
  <c r="N79" i="10" s="1"/>
  <c r="E79" i="10"/>
  <c r="G69" i="10"/>
  <c r="E68" i="10"/>
  <c r="H59" i="10"/>
  <c r="J57" i="10"/>
  <c r="N57" i="10" s="1"/>
  <c r="E57" i="10"/>
  <c r="H55" i="10"/>
  <c r="H47" i="10"/>
  <c r="H46" i="10"/>
  <c r="H45" i="10"/>
  <c r="H44" i="10"/>
  <c r="H43" i="10"/>
  <c r="H42" i="10"/>
  <c r="J33" i="10"/>
  <c r="L31" i="10"/>
  <c r="F31" i="10"/>
  <c r="J29" i="10"/>
  <c r="H82" i="10"/>
  <c r="J80" i="10"/>
  <c r="N80" i="10" s="1"/>
  <c r="E80" i="10"/>
  <c r="H78" i="10"/>
  <c r="G70" i="10"/>
  <c r="E69" i="10"/>
  <c r="G66" i="10"/>
  <c r="J58" i="10"/>
  <c r="N58" i="10" s="1"/>
  <c r="E58" i="10"/>
  <c r="H56" i="10"/>
  <c r="J54" i="10"/>
  <c r="N54" i="10" s="1"/>
  <c r="E54" i="10"/>
  <c r="L32" i="10"/>
  <c r="P32" i="10" s="1"/>
  <c r="F32" i="10"/>
  <c r="J30" i="10"/>
  <c r="L28" i="10"/>
  <c r="P28" i="10" s="1"/>
  <c r="F28" i="10"/>
  <c r="H83" i="10"/>
  <c r="J81" i="10"/>
  <c r="N81" i="10" s="1"/>
  <c r="E81" i="10"/>
  <c r="P31" i="10"/>
  <c r="E42" i="10"/>
  <c r="E46" i="10"/>
  <c r="J55" i="10"/>
  <c r="N55" i="10" s="1"/>
  <c r="H57" i="10"/>
  <c r="E59" i="10"/>
  <c r="G67" i="10"/>
  <c r="F29" i="10"/>
  <c r="L33" i="10"/>
  <c r="P33" i="10" s="1"/>
  <c r="E45" i="10"/>
  <c r="N56" i="10"/>
  <c r="E66" i="10"/>
  <c r="H79" i="10"/>
  <c r="N82" i="10"/>
  <c r="E44" i="10"/>
  <c r="E55" i="10"/>
  <c r="J59" i="10"/>
  <c r="N59" i="10" s="1"/>
  <c r="G71" i="10"/>
  <c r="B15" i="18" l="1"/>
  <c r="I9" i="18"/>
  <c r="F15" i="18"/>
  <c r="M15" i="18" s="1"/>
  <c r="O84" i="18"/>
  <c r="D9" i="18"/>
  <c r="O60" i="18"/>
  <c r="C9" i="18"/>
  <c r="M48" i="18"/>
  <c r="Q34" i="18"/>
  <c r="L9" i="18"/>
  <c r="E15" i="18"/>
  <c r="L15" i="18" s="1"/>
  <c r="L72" i="18"/>
  <c r="F13" i="9"/>
  <c r="E13" i="9"/>
  <c r="C15" i="18" l="1"/>
  <c r="J15" i="18" s="1"/>
  <c r="J9" i="18"/>
  <c r="D15" i="18"/>
  <c r="K15" i="18" s="1"/>
  <c r="K9" i="18"/>
  <c r="P34" i="8"/>
  <c r="F30" i="5" l="1"/>
  <c r="F31" i="5"/>
  <c r="F32" i="5"/>
  <c r="F33" i="5"/>
  <c r="F34" i="5"/>
  <c r="F29" i="5"/>
  <c r="E30" i="5"/>
  <c r="E31" i="5"/>
  <c r="E32" i="5"/>
  <c r="E33" i="5"/>
  <c r="E34" i="5"/>
  <c r="E29" i="5"/>
  <c r="D30" i="5"/>
  <c r="D31" i="5"/>
  <c r="D32" i="5"/>
  <c r="D33" i="5"/>
  <c r="D34" i="5"/>
  <c r="D29" i="5"/>
  <c r="C30" i="5"/>
  <c r="C31" i="5"/>
  <c r="C32" i="5"/>
  <c r="C33" i="5"/>
  <c r="C34" i="5"/>
  <c r="C29" i="5"/>
  <c r="B30" i="5"/>
  <c r="B31" i="5"/>
  <c r="B32" i="5"/>
  <c r="B33" i="5"/>
  <c r="B34" i="5"/>
  <c r="B29" i="5"/>
  <c r="F8" i="5"/>
  <c r="F9" i="5"/>
  <c r="F10" i="5"/>
  <c r="F11" i="5"/>
  <c r="F12" i="5"/>
  <c r="F7" i="5"/>
  <c r="E8" i="5"/>
  <c r="E9" i="5"/>
  <c r="E10" i="5"/>
  <c r="E11" i="5"/>
  <c r="E12" i="5"/>
  <c r="E7" i="5"/>
  <c r="D8" i="5"/>
  <c r="D9" i="5"/>
  <c r="D10" i="5"/>
  <c r="D11" i="5"/>
  <c r="D12" i="5"/>
  <c r="D7" i="5"/>
  <c r="C8" i="5"/>
  <c r="C9" i="5"/>
  <c r="C10" i="5"/>
  <c r="C11" i="5"/>
  <c r="C12" i="5"/>
  <c r="C7" i="5"/>
  <c r="B8" i="5"/>
  <c r="B9" i="5"/>
  <c r="B10" i="5"/>
  <c r="B11" i="5"/>
  <c r="B12" i="5"/>
  <c r="B7" i="5"/>
  <c r="B66" i="16" l="1"/>
  <c r="C66" i="16" s="1"/>
  <c r="B66" i="17"/>
  <c r="C66" i="17" s="1"/>
  <c r="B66" i="15"/>
  <c r="C66" i="15" s="1"/>
  <c r="B81" i="11"/>
  <c r="C81" i="11" s="1"/>
  <c r="B81" i="10"/>
  <c r="C81" i="10" s="1"/>
  <c r="B45" i="15"/>
  <c r="C45" i="15" s="1"/>
  <c r="B45" i="17"/>
  <c r="C45" i="17" s="1"/>
  <c r="B45" i="16"/>
  <c r="C45" i="16" s="1"/>
  <c r="B69" i="16"/>
  <c r="C69" i="16" s="1"/>
  <c r="B69" i="15"/>
  <c r="C69" i="15" s="1"/>
  <c r="B69" i="17"/>
  <c r="C69" i="17" s="1"/>
  <c r="B78" i="11"/>
  <c r="C78" i="11" s="1"/>
  <c r="B78" i="10"/>
  <c r="C78" i="10" s="1"/>
  <c r="B33" i="10"/>
  <c r="C33" i="10" s="1"/>
  <c r="B33" i="11"/>
  <c r="C33" i="11" s="1"/>
  <c r="B70" i="16"/>
  <c r="C70" i="16" s="1"/>
  <c r="B70" i="17"/>
  <c r="C70" i="17" s="1"/>
  <c r="B70" i="15"/>
  <c r="C70" i="15" s="1"/>
  <c r="B30" i="11"/>
  <c r="C30" i="11" s="1"/>
  <c r="B30" i="10"/>
  <c r="C30" i="10" s="1"/>
  <c r="B56" i="11"/>
  <c r="C56" i="11" s="1"/>
  <c r="B56" i="10"/>
  <c r="C56" i="10" s="1"/>
  <c r="B80" i="11"/>
  <c r="C80" i="11" s="1"/>
  <c r="B80" i="10"/>
  <c r="C80" i="10" s="1"/>
  <c r="B44" i="17"/>
  <c r="C44" i="17" s="1"/>
  <c r="B44" i="15"/>
  <c r="C44" i="15" s="1"/>
  <c r="B44" i="16"/>
  <c r="C44" i="16" s="1"/>
  <c r="B68" i="16"/>
  <c r="C68" i="16" s="1"/>
  <c r="B68" i="15"/>
  <c r="C68" i="15" s="1"/>
  <c r="B68" i="17"/>
  <c r="C68" i="17" s="1"/>
  <c r="B47" i="17"/>
  <c r="C47" i="17" s="1"/>
  <c r="B47" i="16"/>
  <c r="C47" i="16" s="1"/>
  <c r="B47" i="15"/>
  <c r="C47" i="15" s="1"/>
  <c r="B29" i="11"/>
  <c r="C29" i="11" s="1"/>
  <c r="B29" i="10"/>
  <c r="C29" i="10" s="1"/>
  <c r="B43" i="17"/>
  <c r="C43" i="17" s="1"/>
  <c r="B43" i="15"/>
  <c r="C43" i="15" s="1"/>
  <c r="B43" i="16"/>
  <c r="C43" i="16" s="1"/>
  <c r="B67" i="15"/>
  <c r="C67" i="15" s="1"/>
  <c r="B67" i="16"/>
  <c r="C67" i="16" s="1"/>
  <c r="B67" i="17"/>
  <c r="C67" i="17" s="1"/>
  <c r="B78" i="17"/>
  <c r="C78" i="17" s="1"/>
  <c r="B78" i="15"/>
  <c r="C78" i="15" s="1"/>
  <c r="B78" i="16"/>
  <c r="C78" i="16" s="1"/>
  <c r="B83" i="11"/>
  <c r="C83" i="11" s="1"/>
  <c r="B83" i="10"/>
  <c r="C83" i="10" s="1"/>
  <c r="B58" i="10"/>
  <c r="C58" i="10" s="1"/>
  <c r="B58" i="11"/>
  <c r="C58" i="11" s="1"/>
  <c r="B54" i="17"/>
  <c r="C54" i="17" s="1"/>
  <c r="B54" i="15"/>
  <c r="C54" i="15" s="1"/>
  <c r="B54" i="16"/>
  <c r="C54" i="16" s="1"/>
  <c r="B47" i="10"/>
  <c r="C47" i="10" s="1"/>
  <c r="B47" i="11"/>
  <c r="C47" i="11" s="1"/>
  <c r="B71" i="11"/>
  <c r="C71" i="11" s="1"/>
  <c r="B71" i="10"/>
  <c r="C71" i="10" s="1"/>
  <c r="B33" i="16"/>
  <c r="C33" i="16" s="1"/>
  <c r="B33" i="17"/>
  <c r="C33" i="17" s="1"/>
  <c r="B33" i="15"/>
  <c r="C33" i="15" s="1"/>
  <c r="B59" i="16"/>
  <c r="C59" i="16" s="1"/>
  <c r="B59" i="17"/>
  <c r="C59" i="17" s="1"/>
  <c r="B59" i="15"/>
  <c r="C59" i="15" s="1"/>
  <c r="B83" i="17"/>
  <c r="C83" i="17" s="1"/>
  <c r="B83" i="15"/>
  <c r="C83" i="15" s="1"/>
  <c r="B83" i="16"/>
  <c r="C83" i="16" s="1"/>
  <c r="B54" i="11"/>
  <c r="C54" i="11" s="1"/>
  <c r="B54" i="10"/>
  <c r="C54" i="10" s="1"/>
  <c r="B32" i="11"/>
  <c r="C32" i="11" s="1"/>
  <c r="B32" i="10"/>
  <c r="C32" i="10" s="1"/>
  <c r="B46" i="15"/>
  <c r="C46" i="15" s="1"/>
  <c r="B46" i="17"/>
  <c r="C46" i="17" s="1"/>
  <c r="B46" i="16"/>
  <c r="C46" i="16" s="1"/>
  <c r="B28" i="16"/>
  <c r="C28" i="16" s="1"/>
  <c r="B28" i="15"/>
  <c r="C28" i="15" s="1"/>
  <c r="B28" i="17"/>
  <c r="C28" i="17" s="1"/>
  <c r="B70" i="11"/>
  <c r="C70" i="11" s="1"/>
  <c r="B70" i="10"/>
  <c r="C70" i="10" s="1"/>
  <c r="B32" i="15"/>
  <c r="C32" i="15" s="1"/>
  <c r="B32" i="16"/>
  <c r="C32" i="16" s="1"/>
  <c r="B32" i="17"/>
  <c r="C32" i="17" s="1"/>
  <c r="B58" i="16"/>
  <c r="C58" i="16" s="1"/>
  <c r="B58" i="15"/>
  <c r="C58" i="15" s="1"/>
  <c r="B58" i="17"/>
  <c r="C58" i="17" s="1"/>
  <c r="B82" i="16"/>
  <c r="C82" i="16" s="1"/>
  <c r="B82" i="17"/>
  <c r="C82" i="17" s="1"/>
  <c r="B82" i="15"/>
  <c r="C82" i="15" s="1"/>
  <c r="B71" i="17"/>
  <c r="C71" i="17" s="1"/>
  <c r="B71" i="15"/>
  <c r="C71" i="15" s="1"/>
  <c r="B71" i="16"/>
  <c r="C71" i="16" s="1"/>
  <c r="B31" i="11"/>
  <c r="C31" i="11" s="1"/>
  <c r="B31" i="10"/>
  <c r="C31" i="10" s="1"/>
  <c r="B66" i="11"/>
  <c r="C66" i="11" s="1"/>
  <c r="B66" i="10"/>
  <c r="C66" i="10" s="1"/>
  <c r="B45" i="10"/>
  <c r="C45" i="10" s="1"/>
  <c r="B45" i="11"/>
  <c r="C45" i="11" s="1"/>
  <c r="B69" i="11"/>
  <c r="C69" i="11" s="1"/>
  <c r="B69" i="10"/>
  <c r="C69" i="10" s="1"/>
  <c r="B31" i="17"/>
  <c r="C31" i="17" s="1"/>
  <c r="B31" i="15"/>
  <c r="C31" i="15" s="1"/>
  <c r="B31" i="16"/>
  <c r="C31" i="16" s="1"/>
  <c r="B57" i="16"/>
  <c r="C57" i="16" s="1"/>
  <c r="B57" i="17"/>
  <c r="C57" i="17" s="1"/>
  <c r="B57" i="15"/>
  <c r="C57" i="15" s="1"/>
  <c r="B81" i="15"/>
  <c r="C81" i="15" s="1"/>
  <c r="B81" i="16"/>
  <c r="C81" i="16" s="1"/>
  <c r="B81" i="17"/>
  <c r="C81" i="17" s="1"/>
  <c r="B28" i="11"/>
  <c r="C28" i="11" s="1"/>
  <c r="B28" i="10"/>
  <c r="C28" i="10" s="1"/>
  <c r="B59" i="11"/>
  <c r="C59" i="11" s="1"/>
  <c r="B59" i="10"/>
  <c r="C59" i="10" s="1"/>
  <c r="B57" i="11"/>
  <c r="C57" i="11" s="1"/>
  <c r="B57" i="10"/>
  <c r="C57" i="10" s="1"/>
  <c r="B42" i="11"/>
  <c r="C42" i="11" s="1"/>
  <c r="B42" i="10"/>
  <c r="C42" i="10" s="1"/>
  <c r="B46" i="11"/>
  <c r="C46" i="11" s="1"/>
  <c r="B46" i="10"/>
  <c r="C46" i="10" s="1"/>
  <c r="B44" i="10"/>
  <c r="C44" i="10" s="1"/>
  <c r="B44" i="11"/>
  <c r="C44" i="11" s="1"/>
  <c r="B68" i="10"/>
  <c r="C68" i="10" s="1"/>
  <c r="B68" i="11"/>
  <c r="C68" i="11" s="1"/>
  <c r="B30" i="17"/>
  <c r="C30" i="17" s="1"/>
  <c r="B30" i="15"/>
  <c r="C30" i="15" s="1"/>
  <c r="B30" i="16"/>
  <c r="C30" i="16" s="1"/>
  <c r="B56" i="16"/>
  <c r="C56" i="16" s="1"/>
  <c r="B56" i="15"/>
  <c r="C56" i="15" s="1"/>
  <c r="B56" i="17"/>
  <c r="C56" i="17" s="1"/>
  <c r="B80" i="16"/>
  <c r="C80" i="16" s="1"/>
  <c r="B80" i="17"/>
  <c r="C80" i="17" s="1"/>
  <c r="B80" i="15"/>
  <c r="C80" i="15" s="1"/>
  <c r="B42" i="15"/>
  <c r="C42" i="15" s="1"/>
  <c r="B42" i="17"/>
  <c r="C42" i="17" s="1"/>
  <c r="B42" i="16"/>
  <c r="C42" i="16" s="1"/>
  <c r="B82" i="11"/>
  <c r="C82" i="11" s="1"/>
  <c r="B82" i="10"/>
  <c r="C82" i="10" s="1"/>
  <c r="B55" i="11"/>
  <c r="C55" i="11" s="1"/>
  <c r="B55" i="10"/>
  <c r="C55" i="10" s="1"/>
  <c r="B79" i="11"/>
  <c r="C79" i="11" s="1"/>
  <c r="B79" i="10"/>
  <c r="C79" i="10" s="1"/>
  <c r="B43" i="10"/>
  <c r="C43" i="10" s="1"/>
  <c r="B43" i="11"/>
  <c r="C43" i="11" s="1"/>
  <c r="B67" i="11"/>
  <c r="C67" i="11" s="1"/>
  <c r="B67" i="10"/>
  <c r="C67" i="10" s="1"/>
  <c r="B29" i="17"/>
  <c r="C29" i="17" s="1"/>
  <c r="B29" i="16"/>
  <c r="C29" i="16" s="1"/>
  <c r="B29" i="15"/>
  <c r="C29" i="15" s="1"/>
  <c r="B55" i="16"/>
  <c r="C55" i="16" s="1"/>
  <c r="B55" i="15"/>
  <c r="C55" i="15" s="1"/>
  <c r="B55" i="17"/>
  <c r="C55" i="17" s="1"/>
  <c r="B79" i="17"/>
  <c r="C79" i="17" s="1"/>
  <c r="B79" i="15"/>
  <c r="C79" i="15" s="1"/>
  <c r="B79" i="16"/>
  <c r="C79" i="16" s="1"/>
  <c r="P35" i="8"/>
  <c r="P20" i="8"/>
  <c r="P5" i="8"/>
  <c r="P19" i="8"/>
  <c r="P4" i="8"/>
  <c r="I35" i="8"/>
  <c r="I20" i="8"/>
  <c r="I5" i="8"/>
  <c r="I34" i="8"/>
  <c r="I19" i="8"/>
  <c r="I4" i="8"/>
  <c r="B35" i="8"/>
  <c r="B34" i="8"/>
  <c r="B20" i="8"/>
  <c r="B19" i="8"/>
  <c r="B5" i="8"/>
  <c r="K69" i="11" l="1"/>
  <c r="J69" i="11"/>
  <c r="L69" i="11" s="1"/>
  <c r="E12" i="11" s="1"/>
  <c r="L12" i="11" s="1"/>
  <c r="F82" i="16"/>
  <c r="M82" i="16" s="1"/>
  <c r="L82" i="16"/>
  <c r="F46" i="16"/>
  <c r="L46" i="16" s="1"/>
  <c r="K46" i="16"/>
  <c r="M46" i="16" s="1"/>
  <c r="C13" i="16" s="1"/>
  <c r="J13" i="16" s="1"/>
  <c r="Q29" i="8" s="1"/>
  <c r="F59" i="16"/>
  <c r="M59" i="16" s="1"/>
  <c r="L59" i="16"/>
  <c r="L58" i="10"/>
  <c r="F58" i="10"/>
  <c r="M58" i="10" s="1"/>
  <c r="H29" i="10"/>
  <c r="O29" i="10" s="1"/>
  <c r="Q29" i="10" s="1"/>
  <c r="B10" i="10" s="1"/>
  <c r="I10" i="10" s="1"/>
  <c r="B26" i="8" s="1"/>
  <c r="N29" i="10"/>
  <c r="F80" i="11"/>
  <c r="M80" i="11" s="1"/>
  <c r="L80" i="11"/>
  <c r="O80" i="11" s="1"/>
  <c r="F11" i="11" s="1"/>
  <c r="F78" i="11"/>
  <c r="M78" i="11" s="1"/>
  <c r="L78" i="11"/>
  <c r="H28" i="11"/>
  <c r="O28" i="11" s="1"/>
  <c r="N28" i="11"/>
  <c r="L83" i="10"/>
  <c r="F83" i="10"/>
  <c r="M83" i="10" s="1"/>
  <c r="H29" i="11"/>
  <c r="O29" i="11" s="1"/>
  <c r="N29" i="11"/>
  <c r="F56" i="10"/>
  <c r="M56" i="10" s="1"/>
  <c r="L56" i="10"/>
  <c r="J69" i="17"/>
  <c r="K69" i="17"/>
  <c r="K67" i="10"/>
  <c r="J67" i="10"/>
  <c r="F42" i="15"/>
  <c r="L42" i="15" s="1"/>
  <c r="K42" i="15"/>
  <c r="F44" i="11"/>
  <c r="L44" i="11" s="1"/>
  <c r="K44" i="11"/>
  <c r="F81" i="17"/>
  <c r="M81" i="17" s="1"/>
  <c r="L81" i="17"/>
  <c r="F45" i="10"/>
  <c r="L45" i="10" s="1"/>
  <c r="K45" i="10"/>
  <c r="L58" i="15"/>
  <c r="F58" i="15"/>
  <c r="M58" i="15" s="1"/>
  <c r="F46" i="15"/>
  <c r="L46" i="15" s="1"/>
  <c r="K46" i="15"/>
  <c r="H33" i="17"/>
  <c r="O33" i="17" s="1"/>
  <c r="N33" i="17"/>
  <c r="F83" i="11"/>
  <c r="M83" i="11" s="1"/>
  <c r="L83" i="11"/>
  <c r="F47" i="15"/>
  <c r="L47" i="15" s="1"/>
  <c r="K47" i="15"/>
  <c r="F56" i="11"/>
  <c r="M56" i="11" s="1"/>
  <c r="L56" i="11"/>
  <c r="J69" i="15"/>
  <c r="K69" i="15"/>
  <c r="F46" i="17"/>
  <c r="L46" i="17" s="1"/>
  <c r="K46" i="17"/>
  <c r="K47" i="16"/>
  <c r="F47" i="16"/>
  <c r="L47" i="16" s="1"/>
  <c r="F81" i="15"/>
  <c r="M81" i="15" s="1"/>
  <c r="L81" i="15"/>
  <c r="J71" i="10"/>
  <c r="K71" i="10"/>
  <c r="F57" i="15"/>
  <c r="M57" i="15" s="1"/>
  <c r="L57" i="15"/>
  <c r="H32" i="16"/>
  <c r="O32" i="16" s="1"/>
  <c r="N32" i="16"/>
  <c r="F54" i="10"/>
  <c r="M54" i="10" s="1"/>
  <c r="L54" i="10"/>
  <c r="K71" i="11"/>
  <c r="J71" i="11"/>
  <c r="F78" i="17"/>
  <c r="M78" i="17" s="1"/>
  <c r="L78" i="17"/>
  <c r="J68" i="17"/>
  <c r="K68" i="17"/>
  <c r="J70" i="15"/>
  <c r="K70" i="15"/>
  <c r="F45" i="17"/>
  <c r="L45" i="17" s="1"/>
  <c r="K45" i="17"/>
  <c r="M45" i="17" s="1"/>
  <c r="C12" i="17" s="1"/>
  <c r="J12" i="17" s="1"/>
  <c r="Q43" i="8" s="1"/>
  <c r="H29" i="17"/>
  <c r="O29" i="17" s="1"/>
  <c r="N29" i="17"/>
  <c r="F45" i="11"/>
  <c r="L45" i="11" s="1"/>
  <c r="K45" i="11"/>
  <c r="K67" i="11"/>
  <c r="J67" i="11"/>
  <c r="F58" i="16"/>
  <c r="M58" i="16" s="1"/>
  <c r="L58" i="16"/>
  <c r="H32" i="10"/>
  <c r="O32" i="10" s="1"/>
  <c r="N32" i="10"/>
  <c r="H30" i="10"/>
  <c r="O30" i="10" s="1"/>
  <c r="N30" i="10"/>
  <c r="Q30" i="10" s="1"/>
  <c r="B11" i="10" s="1"/>
  <c r="F46" i="10"/>
  <c r="L46" i="10" s="1"/>
  <c r="K46" i="10"/>
  <c r="H32" i="17"/>
  <c r="O32" i="17" s="1"/>
  <c r="N32" i="17"/>
  <c r="H30" i="11"/>
  <c r="O30" i="11" s="1"/>
  <c r="N30" i="11"/>
  <c r="F80" i="16"/>
  <c r="M80" i="16" s="1"/>
  <c r="L80" i="16"/>
  <c r="H31" i="10"/>
  <c r="O31" i="10" s="1"/>
  <c r="N31" i="10"/>
  <c r="F79" i="15"/>
  <c r="M79" i="15" s="1"/>
  <c r="L79" i="15"/>
  <c r="O79" i="15" s="1"/>
  <c r="F10" i="15" s="1"/>
  <c r="F79" i="10"/>
  <c r="M79" i="10" s="1"/>
  <c r="L79" i="10"/>
  <c r="F56" i="17"/>
  <c r="M56" i="17" s="1"/>
  <c r="L56" i="17"/>
  <c r="F42" i="10"/>
  <c r="L42" i="10" s="1"/>
  <c r="K42" i="10"/>
  <c r="F57" i="17"/>
  <c r="M57" i="17" s="1"/>
  <c r="L57" i="17"/>
  <c r="H31" i="11"/>
  <c r="O31" i="11" s="1"/>
  <c r="N31" i="11"/>
  <c r="H32" i="15"/>
  <c r="O32" i="15" s="1"/>
  <c r="N32" i="15"/>
  <c r="Q32" i="15" s="1"/>
  <c r="B13" i="15" s="1"/>
  <c r="F54" i="11"/>
  <c r="M54" i="11" s="1"/>
  <c r="L54" i="11"/>
  <c r="F47" i="11"/>
  <c r="L47" i="11" s="1"/>
  <c r="K47" i="11"/>
  <c r="K67" i="17"/>
  <c r="J67" i="17"/>
  <c r="K68" i="15"/>
  <c r="J68" i="15"/>
  <c r="J70" i="17"/>
  <c r="K70" i="17"/>
  <c r="F45" i="15"/>
  <c r="L45" i="15" s="1"/>
  <c r="K45" i="15"/>
  <c r="M45" i="15" s="1"/>
  <c r="C12" i="15" s="1"/>
  <c r="J12" i="15" s="1"/>
  <c r="Q13" i="8" s="1"/>
  <c r="F42" i="16"/>
  <c r="L42" i="16" s="1"/>
  <c r="K42" i="16"/>
  <c r="F78" i="16"/>
  <c r="M78" i="16" s="1"/>
  <c r="L78" i="16"/>
  <c r="F43" i="11"/>
  <c r="L43" i="11" s="1"/>
  <c r="K43" i="11"/>
  <c r="J66" i="11"/>
  <c r="K66" i="11"/>
  <c r="F45" i="16"/>
  <c r="L45" i="16" s="1"/>
  <c r="K45" i="16"/>
  <c r="F46" i="11"/>
  <c r="L46" i="11" s="1"/>
  <c r="K46" i="11"/>
  <c r="M46" i="11" s="1"/>
  <c r="C13" i="11" s="1"/>
  <c r="J13" i="11" s="1"/>
  <c r="C44" i="8" s="1"/>
  <c r="K71" i="16"/>
  <c r="J71" i="16"/>
  <c r="J70" i="10"/>
  <c r="K70" i="10"/>
  <c r="F83" i="16"/>
  <c r="M83" i="16" s="1"/>
  <c r="L83" i="16"/>
  <c r="F47" i="10"/>
  <c r="L47" i="10" s="1"/>
  <c r="K47" i="10"/>
  <c r="K67" i="16"/>
  <c r="J67" i="16"/>
  <c r="K68" i="16"/>
  <c r="J68" i="16"/>
  <c r="L68" i="16" s="1"/>
  <c r="E11" i="16" s="1"/>
  <c r="L11" i="16" s="1"/>
  <c r="S27" i="8" s="1"/>
  <c r="J70" i="16"/>
  <c r="K70" i="16"/>
  <c r="F81" i="10"/>
  <c r="M81" i="10" s="1"/>
  <c r="L81" i="10"/>
  <c r="H29" i="16"/>
  <c r="O29" i="16" s="1"/>
  <c r="N29" i="16"/>
  <c r="F42" i="17"/>
  <c r="L42" i="17" s="1"/>
  <c r="K42" i="17"/>
  <c r="F81" i="16"/>
  <c r="M81" i="16" s="1"/>
  <c r="L81" i="16"/>
  <c r="F78" i="15"/>
  <c r="M78" i="15" s="1"/>
  <c r="L78" i="15"/>
  <c r="O78" i="15" s="1"/>
  <c r="F43" i="10"/>
  <c r="L43" i="10" s="1"/>
  <c r="K43" i="10"/>
  <c r="F79" i="17"/>
  <c r="M79" i="17" s="1"/>
  <c r="L79" i="17"/>
  <c r="F57" i="16"/>
  <c r="M57" i="16" s="1"/>
  <c r="L57" i="16"/>
  <c r="F55" i="10"/>
  <c r="M55" i="10" s="1"/>
  <c r="L55" i="10"/>
  <c r="L57" i="10"/>
  <c r="F57" i="10"/>
  <c r="M57" i="10" s="1"/>
  <c r="H31" i="16"/>
  <c r="O31" i="16" s="1"/>
  <c r="N31" i="16"/>
  <c r="Q31" i="16" s="1"/>
  <c r="B12" i="16" s="1"/>
  <c r="I12" i="16" s="1"/>
  <c r="P28" i="8" s="1"/>
  <c r="K71" i="15"/>
  <c r="J71" i="15"/>
  <c r="J70" i="11"/>
  <c r="K70" i="11"/>
  <c r="F83" i="15"/>
  <c r="M83" i="15" s="1"/>
  <c r="L83" i="15"/>
  <c r="F54" i="16"/>
  <c r="M54" i="16" s="1"/>
  <c r="L54" i="16"/>
  <c r="K67" i="15"/>
  <c r="J67" i="15"/>
  <c r="K44" i="16"/>
  <c r="F44" i="16"/>
  <c r="L44" i="16" s="1"/>
  <c r="H33" i="11"/>
  <c r="O33" i="11" s="1"/>
  <c r="N33" i="11"/>
  <c r="L81" i="11"/>
  <c r="F81" i="11"/>
  <c r="M81" i="11" s="1"/>
  <c r="K68" i="11"/>
  <c r="J68" i="11"/>
  <c r="H28" i="10"/>
  <c r="O28" i="10" s="1"/>
  <c r="N28" i="10"/>
  <c r="H33" i="15"/>
  <c r="O33" i="15" s="1"/>
  <c r="N33" i="15"/>
  <c r="F80" i="15"/>
  <c r="M80" i="15" s="1"/>
  <c r="L80" i="15"/>
  <c r="O80" i="15" s="1"/>
  <c r="F11" i="15" s="1"/>
  <c r="J66" i="10"/>
  <c r="K66" i="10"/>
  <c r="N33" i="16"/>
  <c r="H33" i="16"/>
  <c r="O33" i="16" s="1"/>
  <c r="F80" i="17"/>
  <c r="M80" i="17" s="1"/>
  <c r="L80" i="17"/>
  <c r="H32" i="11"/>
  <c r="O32" i="11" s="1"/>
  <c r="N32" i="11"/>
  <c r="F79" i="16"/>
  <c r="M79" i="16" s="1"/>
  <c r="L79" i="16"/>
  <c r="F56" i="15"/>
  <c r="M56" i="15" s="1"/>
  <c r="L56" i="15"/>
  <c r="O56" i="15" s="1"/>
  <c r="D11" i="15" s="1"/>
  <c r="K11" i="15" s="1"/>
  <c r="R12" i="8" s="1"/>
  <c r="F42" i="11"/>
  <c r="L42" i="11" s="1"/>
  <c r="K42" i="11"/>
  <c r="M42" i="11" s="1"/>
  <c r="F56" i="16"/>
  <c r="M56" i="16" s="1"/>
  <c r="L56" i="16"/>
  <c r="F55" i="11"/>
  <c r="M55" i="11" s="1"/>
  <c r="L55" i="11"/>
  <c r="H30" i="16"/>
  <c r="O30" i="16" s="1"/>
  <c r="N30" i="16"/>
  <c r="F57" i="11"/>
  <c r="M57" i="11" s="1"/>
  <c r="L57" i="11"/>
  <c r="H31" i="15"/>
  <c r="O31" i="15" s="1"/>
  <c r="N31" i="15"/>
  <c r="Q31" i="15" s="1"/>
  <c r="B12" i="15" s="1"/>
  <c r="I12" i="15" s="1"/>
  <c r="P13" i="8" s="1"/>
  <c r="K71" i="17"/>
  <c r="J71" i="17"/>
  <c r="L71" i="17" s="1"/>
  <c r="E14" i="17" s="1"/>
  <c r="L14" i="17" s="1"/>
  <c r="S45" i="8" s="1"/>
  <c r="H28" i="17"/>
  <c r="O28" i="17" s="1"/>
  <c r="N28" i="17"/>
  <c r="F83" i="17"/>
  <c r="M83" i="17" s="1"/>
  <c r="L83" i="17"/>
  <c r="F54" i="15"/>
  <c r="M54" i="15" s="1"/>
  <c r="L54" i="15"/>
  <c r="K43" i="16"/>
  <c r="F43" i="16"/>
  <c r="L43" i="16" s="1"/>
  <c r="F44" i="15"/>
  <c r="L44" i="15" s="1"/>
  <c r="K44" i="15"/>
  <c r="M44" i="15" s="1"/>
  <c r="C11" i="15" s="1"/>
  <c r="J11" i="15" s="1"/>
  <c r="Q12" i="8" s="1"/>
  <c r="N33" i="10"/>
  <c r="H33" i="10"/>
  <c r="O33" i="10" s="1"/>
  <c r="K66" i="15"/>
  <c r="J66" i="15"/>
  <c r="J68" i="10"/>
  <c r="K68" i="10"/>
  <c r="F47" i="17"/>
  <c r="L47" i="17" s="1"/>
  <c r="K47" i="17"/>
  <c r="F79" i="11"/>
  <c r="M79" i="11" s="1"/>
  <c r="L79" i="11"/>
  <c r="F55" i="17"/>
  <c r="M55" i="17" s="1"/>
  <c r="L55" i="17"/>
  <c r="O55" i="17" s="1"/>
  <c r="D10" i="17" s="1"/>
  <c r="K10" i="17" s="1"/>
  <c r="R41" i="8" s="1"/>
  <c r="F55" i="15"/>
  <c r="M55" i="15" s="1"/>
  <c r="L55" i="15"/>
  <c r="O55" i="15" s="1"/>
  <c r="D10" i="15" s="1"/>
  <c r="K10" i="15" s="1"/>
  <c r="R11" i="8" s="1"/>
  <c r="F55" i="16"/>
  <c r="M55" i="16" s="1"/>
  <c r="L55" i="16"/>
  <c r="F82" i="10"/>
  <c r="M82" i="10" s="1"/>
  <c r="L82" i="10"/>
  <c r="H30" i="15"/>
  <c r="O30" i="15" s="1"/>
  <c r="N30" i="15"/>
  <c r="F59" i="10"/>
  <c r="M59" i="10" s="1"/>
  <c r="L59" i="10"/>
  <c r="H31" i="17"/>
  <c r="O31" i="17" s="1"/>
  <c r="N31" i="17"/>
  <c r="F82" i="15"/>
  <c r="M82" i="15" s="1"/>
  <c r="L82" i="15"/>
  <c r="O82" i="15" s="1"/>
  <c r="F13" i="15" s="1"/>
  <c r="N28" i="15"/>
  <c r="H28" i="15"/>
  <c r="O28" i="15" s="1"/>
  <c r="F59" i="15"/>
  <c r="M59" i="15" s="1"/>
  <c r="L59" i="15"/>
  <c r="F54" i="17"/>
  <c r="M54" i="17" s="1"/>
  <c r="L54" i="17"/>
  <c r="F43" i="15"/>
  <c r="L43" i="15" s="1"/>
  <c r="K43" i="15"/>
  <c r="F44" i="17"/>
  <c r="L44" i="17" s="1"/>
  <c r="K44" i="17"/>
  <c r="M44" i="17" s="1"/>
  <c r="C11" i="17" s="1"/>
  <c r="J11" i="17" s="1"/>
  <c r="Q42" i="8" s="1"/>
  <c r="F78" i="10"/>
  <c r="M78" i="10" s="1"/>
  <c r="L78" i="10"/>
  <c r="K66" i="17"/>
  <c r="J66" i="17"/>
  <c r="F58" i="17"/>
  <c r="M58" i="17" s="1"/>
  <c r="L58" i="17"/>
  <c r="F44" i="10"/>
  <c r="L44" i="10" s="1"/>
  <c r="K44" i="10"/>
  <c r="K69" i="16"/>
  <c r="J69" i="16"/>
  <c r="H29" i="15"/>
  <c r="O29" i="15" s="1"/>
  <c r="N29" i="15"/>
  <c r="Q29" i="15" s="1"/>
  <c r="B10" i="15" s="1"/>
  <c r="I10" i="15" s="1"/>
  <c r="P11" i="8" s="1"/>
  <c r="F82" i="11"/>
  <c r="M82" i="11" s="1"/>
  <c r="L82" i="11"/>
  <c r="H30" i="17"/>
  <c r="O30" i="17" s="1"/>
  <c r="N30" i="17"/>
  <c r="F59" i="11"/>
  <c r="M59" i="11" s="1"/>
  <c r="L59" i="11"/>
  <c r="O59" i="11" s="1"/>
  <c r="D14" i="11" s="1"/>
  <c r="K14" i="11" s="1"/>
  <c r="J69" i="10"/>
  <c r="K69" i="10"/>
  <c r="F82" i="17"/>
  <c r="M82" i="17" s="1"/>
  <c r="L82" i="17"/>
  <c r="H28" i="16"/>
  <c r="O28" i="16" s="1"/>
  <c r="N28" i="16"/>
  <c r="Q28" i="16" s="1"/>
  <c r="F59" i="17"/>
  <c r="M59" i="17" s="1"/>
  <c r="L59" i="17"/>
  <c r="F58" i="11"/>
  <c r="M58" i="11" s="1"/>
  <c r="L58" i="11"/>
  <c r="F43" i="17"/>
  <c r="L43" i="17" s="1"/>
  <c r="K43" i="17"/>
  <c r="M43" i="17" s="1"/>
  <c r="C10" i="17" s="1"/>
  <c r="F80" i="10"/>
  <c r="M80" i="10" s="1"/>
  <c r="L80" i="10"/>
  <c r="J66" i="16"/>
  <c r="K66" i="16"/>
  <c r="B19" i="5"/>
  <c r="B20" i="5"/>
  <c r="B21" i="5"/>
  <c r="B22" i="5"/>
  <c r="B23" i="5"/>
  <c r="B18" i="5"/>
  <c r="F19" i="5"/>
  <c r="F20" i="5"/>
  <c r="F21" i="5"/>
  <c r="F22" i="5"/>
  <c r="F23" i="5"/>
  <c r="F18" i="5"/>
  <c r="E19" i="5"/>
  <c r="E20" i="5"/>
  <c r="E21" i="5"/>
  <c r="E22" i="5"/>
  <c r="E23" i="5"/>
  <c r="E18" i="5"/>
  <c r="D19" i="5"/>
  <c r="D20" i="5"/>
  <c r="D21" i="5"/>
  <c r="D22" i="5"/>
  <c r="D23" i="5"/>
  <c r="D18" i="5"/>
  <c r="C19" i="5"/>
  <c r="C20" i="5"/>
  <c r="C21" i="5"/>
  <c r="C22" i="5"/>
  <c r="C23" i="5"/>
  <c r="C18" i="5"/>
  <c r="O82" i="17" l="1"/>
  <c r="F13" i="17" s="1"/>
  <c r="L69" i="16"/>
  <c r="E12" i="16" s="1"/>
  <c r="L12" i="16" s="1"/>
  <c r="S28" i="8" s="1"/>
  <c r="O58" i="17"/>
  <c r="D13" i="17" s="1"/>
  <c r="K13" i="17" s="1"/>
  <c r="R44" i="8" s="1"/>
  <c r="O82" i="10"/>
  <c r="F13" i="10" s="1"/>
  <c r="O83" i="17"/>
  <c r="F14" i="17" s="1"/>
  <c r="O55" i="11"/>
  <c r="D10" i="11" s="1"/>
  <c r="K10" i="11" s="1"/>
  <c r="O80" i="17"/>
  <c r="F11" i="17" s="1"/>
  <c r="L68" i="11"/>
  <c r="E11" i="11" s="1"/>
  <c r="L11" i="11" s="1"/>
  <c r="E27" i="8" s="1"/>
  <c r="O83" i="15"/>
  <c r="F14" i="15" s="1"/>
  <c r="Q29" i="16"/>
  <c r="B10" i="16" s="1"/>
  <c r="I10" i="16" s="1"/>
  <c r="P26" i="8" s="1"/>
  <c r="O83" i="16"/>
  <c r="F14" i="16" s="1"/>
  <c r="M43" i="11"/>
  <c r="C10" i="11" s="1"/>
  <c r="L67" i="17"/>
  <c r="E10" i="17" s="1"/>
  <c r="L10" i="17" s="1"/>
  <c r="S41" i="8" s="1"/>
  <c r="M42" i="10"/>
  <c r="Q30" i="11"/>
  <c r="B11" i="11" s="1"/>
  <c r="L67" i="11"/>
  <c r="E10" i="11" s="1"/>
  <c r="L10" i="11" s="1"/>
  <c r="O78" i="17"/>
  <c r="O83" i="11"/>
  <c r="F14" i="11" s="1"/>
  <c r="M44" i="11"/>
  <c r="C11" i="11" s="1"/>
  <c r="J11" i="11" s="1"/>
  <c r="C42" i="8" s="1"/>
  <c r="Q28" i="11"/>
  <c r="B9" i="11" s="1"/>
  <c r="M47" i="16"/>
  <c r="C14" i="16" s="1"/>
  <c r="Q33" i="11"/>
  <c r="B14" i="11" s="1"/>
  <c r="I14" i="11" s="1"/>
  <c r="B45" i="8" s="1"/>
  <c r="L71" i="15"/>
  <c r="E14" i="15" s="1"/>
  <c r="L14" i="15" s="1"/>
  <c r="S15" i="8" s="1"/>
  <c r="M43" i="10"/>
  <c r="C10" i="10" s="1"/>
  <c r="L71" i="16"/>
  <c r="E14" i="16" s="1"/>
  <c r="L14" i="16" s="1"/>
  <c r="S30" i="8" s="1"/>
  <c r="M42" i="16"/>
  <c r="O54" i="11"/>
  <c r="M43" i="15"/>
  <c r="C10" i="15" s="1"/>
  <c r="O59" i="10"/>
  <c r="D14" i="10" s="1"/>
  <c r="K14" i="10" s="1"/>
  <c r="O79" i="11"/>
  <c r="F10" i="11" s="1"/>
  <c r="M43" i="16"/>
  <c r="C10" i="16" s="1"/>
  <c r="O79" i="16"/>
  <c r="F10" i="16" s="1"/>
  <c r="L67" i="16"/>
  <c r="E10" i="16" s="1"/>
  <c r="L10" i="16" s="1"/>
  <c r="S26" i="8" s="1"/>
  <c r="M45" i="16"/>
  <c r="C12" i="16" s="1"/>
  <c r="J12" i="16" s="1"/>
  <c r="Q28" i="8" s="1"/>
  <c r="Q31" i="10"/>
  <c r="B12" i="10" s="1"/>
  <c r="I12" i="10" s="1"/>
  <c r="B28" i="8" s="1"/>
  <c r="Q32" i="10"/>
  <c r="B13" i="10" s="1"/>
  <c r="O57" i="15"/>
  <c r="D12" i="15" s="1"/>
  <c r="K12" i="15" s="1"/>
  <c r="R13" i="8" s="1"/>
  <c r="O56" i="11"/>
  <c r="D11" i="11" s="1"/>
  <c r="K11" i="11" s="1"/>
  <c r="D42" i="8" s="1"/>
  <c r="L66" i="11"/>
  <c r="E9" i="11" s="1"/>
  <c r="L68" i="17"/>
  <c r="E11" i="17" s="1"/>
  <c r="L11" i="17" s="1"/>
  <c r="S42" i="8" s="1"/>
  <c r="L71" i="10"/>
  <c r="E14" i="10" s="1"/>
  <c r="L14" i="10" s="1"/>
  <c r="O81" i="17"/>
  <c r="F12" i="17" s="1"/>
  <c r="M12" i="17" s="1"/>
  <c r="T43" i="8" s="1"/>
  <c r="O58" i="10"/>
  <c r="D13" i="10" s="1"/>
  <c r="K13" i="10" s="1"/>
  <c r="L69" i="10"/>
  <c r="E12" i="10" s="1"/>
  <c r="L12" i="10" s="1"/>
  <c r="O59" i="16"/>
  <c r="D14" i="16" s="1"/>
  <c r="K14" i="16" s="1"/>
  <c r="R30" i="8" s="1"/>
  <c r="O58" i="11"/>
  <c r="D13" i="11" s="1"/>
  <c r="K13" i="11" s="1"/>
  <c r="D44" i="8" s="1"/>
  <c r="Q30" i="17"/>
  <c r="B11" i="17" s="1"/>
  <c r="L66" i="17"/>
  <c r="E9" i="17" s="1"/>
  <c r="O55" i="16"/>
  <c r="D10" i="16" s="1"/>
  <c r="K10" i="16" s="1"/>
  <c r="R26" i="8" s="1"/>
  <c r="L66" i="15"/>
  <c r="E9" i="15" s="1"/>
  <c r="Q28" i="17"/>
  <c r="B9" i="17" s="1"/>
  <c r="O56" i="16"/>
  <c r="D11" i="16" s="1"/>
  <c r="K11" i="16" s="1"/>
  <c r="R27" i="8" s="1"/>
  <c r="O79" i="17"/>
  <c r="F10" i="17" s="1"/>
  <c r="O81" i="10"/>
  <c r="F12" i="10" s="1"/>
  <c r="M12" i="10" s="1"/>
  <c r="O78" i="16"/>
  <c r="M47" i="11"/>
  <c r="C14" i="11" s="1"/>
  <c r="O56" i="17"/>
  <c r="D11" i="17" s="1"/>
  <c r="K11" i="17" s="1"/>
  <c r="R42" i="8" s="1"/>
  <c r="Q32" i="17"/>
  <c r="B13" i="17" s="1"/>
  <c r="M45" i="11"/>
  <c r="C12" i="11" s="1"/>
  <c r="J12" i="11" s="1"/>
  <c r="C43" i="8" s="1"/>
  <c r="L71" i="11"/>
  <c r="E14" i="11" s="1"/>
  <c r="L14" i="11" s="1"/>
  <c r="E30" i="8" s="1"/>
  <c r="M42" i="15"/>
  <c r="O79" i="10"/>
  <c r="F10" i="10" s="1"/>
  <c r="M46" i="10"/>
  <c r="C13" i="10" s="1"/>
  <c r="J13" i="10" s="1"/>
  <c r="C29" i="8" s="1"/>
  <c r="O54" i="10"/>
  <c r="D9" i="10" s="1"/>
  <c r="Q32" i="16"/>
  <c r="B13" i="16" s="1"/>
  <c r="M45" i="10"/>
  <c r="C12" i="10" s="1"/>
  <c r="J12" i="10" s="1"/>
  <c r="C28" i="8" s="1"/>
  <c r="O56" i="10"/>
  <c r="D11" i="10" s="1"/>
  <c r="K11" i="10" s="1"/>
  <c r="B59" i="12"/>
  <c r="C59" i="12" s="1"/>
  <c r="B59" i="13"/>
  <c r="C59" i="13" s="1"/>
  <c r="B59" i="14"/>
  <c r="C59" i="14" s="1"/>
  <c r="B83" i="13"/>
  <c r="C83" i="13" s="1"/>
  <c r="B83" i="12"/>
  <c r="C83" i="12" s="1"/>
  <c r="B83" i="14"/>
  <c r="C83" i="14" s="1"/>
  <c r="L66" i="16"/>
  <c r="O57" i="11"/>
  <c r="D12" i="11" s="1"/>
  <c r="K12" i="11" s="1"/>
  <c r="Q33" i="15"/>
  <c r="B14" i="15" s="1"/>
  <c r="I14" i="15" s="1"/>
  <c r="P15" i="8" s="1"/>
  <c r="L67" i="15"/>
  <c r="E10" i="15" s="1"/>
  <c r="L10" i="15" s="1"/>
  <c r="S11" i="8" s="1"/>
  <c r="O57" i="10"/>
  <c r="D12" i="10" s="1"/>
  <c r="K12" i="10" s="1"/>
  <c r="O81" i="16"/>
  <c r="F12" i="16" s="1"/>
  <c r="M12" i="16" s="1"/>
  <c r="T28" i="8" s="1"/>
  <c r="L70" i="17"/>
  <c r="E13" i="17" s="1"/>
  <c r="L13" i="17" s="1"/>
  <c r="S44" i="8" s="1"/>
  <c r="Q31" i="11"/>
  <c r="B12" i="11" s="1"/>
  <c r="I12" i="11" s="1"/>
  <c r="B43" i="8" s="1"/>
  <c r="L70" i="15"/>
  <c r="E13" i="15" s="1"/>
  <c r="L13" i="15" s="1"/>
  <c r="S14" i="8" s="1"/>
  <c r="B30" i="13"/>
  <c r="C30" i="13" s="1"/>
  <c r="B30" i="12"/>
  <c r="C30" i="12" s="1"/>
  <c r="B30" i="14"/>
  <c r="C30" i="14" s="1"/>
  <c r="B78" i="12"/>
  <c r="C78" i="12" s="1"/>
  <c r="B78" i="14"/>
  <c r="C78" i="14" s="1"/>
  <c r="B78" i="13"/>
  <c r="C78" i="13" s="1"/>
  <c r="B58" i="14"/>
  <c r="C58" i="14" s="1"/>
  <c r="B58" i="12"/>
  <c r="C58" i="12" s="1"/>
  <c r="B58" i="13"/>
  <c r="C58" i="13" s="1"/>
  <c r="B82" i="14"/>
  <c r="C82" i="14" s="1"/>
  <c r="B82" i="13"/>
  <c r="C82" i="13" s="1"/>
  <c r="B82" i="12"/>
  <c r="C82" i="12" s="1"/>
  <c r="O80" i="10"/>
  <c r="F11" i="10" s="1"/>
  <c r="M44" i="10"/>
  <c r="C11" i="10" s="1"/>
  <c r="J11" i="10" s="1"/>
  <c r="C27" i="8" s="1"/>
  <c r="O54" i="17"/>
  <c r="Q30" i="15"/>
  <c r="B11" i="15" s="1"/>
  <c r="M47" i="17"/>
  <c r="C14" i="17" s="1"/>
  <c r="O54" i="15"/>
  <c r="Q30" i="16"/>
  <c r="B11" i="16" s="1"/>
  <c r="Q32" i="11"/>
  <c r="B13" i="11" s="1"/>
  <c r="Q28" i="10"/>
  <c r="O54" i="16"/>
  <c r="O55" i="10"/>
  <c r="D10" i="10" s="1"/>
  <c r="K10" i="10" s="1"/>
  <c r="M42" i="17"/>
  <c r="M47" i="10"/>
  <c r="C14" i="10" s="1"/>
  <c r="L68" i="15"/>
  <c r="E11" i="15" s="1"/>
  <c r="L11" i="15" s="1"/>
  <c r="S12" i="8" s="1"/>
  <c r="O57" i="17"/>
  <c r="D12" i="17" s="1"/>
  <c r="K12" i="17" s="1"/>
  <c r="R43" i="8" s="1"/>
  <c r="O80" i="16"/>
  <c r="F11" i="16" s="1"/>
  <c r="O58" i="16"/>
  <c r="D13" i="16" s="1"/>
  <c r="K13" i="16" s="1"/>
  <c r="R29" i="8" s="1"/>
  <c r="M47" i="15"/>
  <c r="C14" i="15" s="1"/>
  <c r="Q29" i="11"/>
  <c r="B10" i="11" s="1"/>
  <c r="I10" i="11" s="1"/>
  <c r="B41" i="8" s="1"/>
  <c r="B28" i="14"/>
  <c r="C28" i="14" s="1"/>
  <c r="B28" i="13"/>
  <c r="C28" i="13" s="1"/>
  <c r="B28" i="12"/>
  <c r="C28" i="12" s="1"/>
  <c r="D45" i="8"/>
  <c r="D30" i="8"/>
  <c r="C9" i="10"/>
  <c r="E41" i="8"/>
  <c r="E26" i="8"/>
  <c r="F9" i="17"/>
  <c r="B42" i="13"/>
  <c r="C42" i="13" s="1"/>
  <c r="B42" i="12"/>
  <c r="C42" i="12" s="1"/>
  <c r="B42" i="14"/>
  <c r="C42" i="14" s="1"/>
  <c r="B44" i="13"/>
  <c r="C44" i="13" s="1"/>
  <c r="B44" i="12"/>
  <c r="C44" i="12" s="1"/>
  <c r="B44" i="14"/>
  <c r="C44" i="14" s="1"/>
  <c r="B68" i="13"/>
  <c r="C68" i="13" s="1"/>
  <c r="B68" i="14"/>
  <c r="C68" i="14" s="1"/>
  <c r="B68" i="12"/>
  <c r="C68" i="12" s="1"/>
  <c r="B9" i="16"/>
  <c r="B54" i="12"/>
  <c r="C54" i="12" s="1"/>
  <c r="B54" i="14"/>
  <c r="C54" i="14" s="1"/>
  <c r="B54" i="13"/>
  <c r="C54" i="13" s="1"/>
  <c r="B57" i="13"/>
  <c r="C57" i="13" s="1"/>
  <c r="B57" i="14"/>
  <c r="C57" i="14" s="1"/>
  <c r="B57" i="12"/>
  <c r="C57" i="12" s="1"/>
  <c r="B81" i="14"/>
  <c r="C81" i="14" s="1"/>
  <c r="B81" i="13"/>
  <c r="C81" i="13" s="1"/>
  <c r="B81" i="12"/>
  <c r="C81" i="12" s="1"/>
  <c r="B56" i="14"/>
  <c r="C56" i="14" s="1"/>
  <c r="B56" i="12"/>
  <c r="C56" i="12" s="1"/>
  <c r="B56" i="13"/>
  <c r="C56" i="13" s="1"/>
  <c r="B80" i="12"/>
  <c r="C80" i="12" s="1"/>
  <c r="B80" i="13"/>
  <c r="C80" i="13" s="1"/>
  <c r="B80" i="14"/>
  <c r="C80" i="14" s="1"/>
  <c r="D26" i="8"/>
  <c r="D41" i="8"/>
  <c r="B55" i="13"/>
  <c r="C55" i="13" s="1"/>
  <c r="B55" i="14"/>
  <c r="C55" i="14" s="1"/>
  <c r="B55" i="12"/>
  <c r="C55" i="12" s="1"/>
  <c r="B79" i="14"/>
  <c r="C79" i="14" s="1"/>
  <c r="B79" i="12"/>
  <c r="C79" i="12" s="1"/>
  <c r="B79" i="13"/>
  <c r="C79" i="13" s="1"/>
  <c r="O59" i="15"/>
  <c r="D14" i="15" s="1"/>
  <c r="K14" i="15" s="1"/>
  <c r="R15" i="8" s="1"/>
  <c r="L68" i="10"/>
  <c r="E11" i="10" s="1"/>
  <c r="L11" i="10" s="1"/>
  <c r="O57" i="16"/>
  <c r="D12" i="16" s="1"/>
  <c r="K12" i="16" s="1"/>
  <c r="R28" i="8" s="1"/>
  <c r="O81" i="15"/>
  <c r="F12" i="15" s="1"/>
  <c r="M12" i="15" s="1"/>
  <c r="T13" i="8" s="1"/>
  <c r="O83" i="10"/>
  <c r="F14" i="10" s="1"/>
  <c r="C9" i="15"/>
  <c r="Q33" i="17"/>
  <c r="B14" i="17" s="1"/>
  <c r="I14" i="17" s="1"/>
  <c r="P45" i="8" s="1"/>
  <c r="F9" i="16"/>
  <c r="B47" i="14"/>
  <c r="C47" i="14" s="1"/>
  <c r="B47" i="12"/>
  <c r="C47" i="12" s="1"/>
  <c r="B47" i="13"/>
  <c r="C47" i="13" s="1"/>
  <c r="B71" i="13"/>
  <c r="C71" i="13" s="1"/>
  <c r="B71" i="14"/>
  <c r="C71" i="14" s="1"/>
  <c r="B71" i="12"/>
  <c r="C71" i="12" s="1"/>
  <c r="B33" i="13"/>
  <c r="C33" i="13" s="1"/>
  <c r="B33" i="12"/>
  <c r="C33" i="12" s="1"/>
  <c r="B33" i="14"/>
  <c r="C33" i="14" s="1"/>
  <c r="Q28" i="15"/>
  <c r="O81" i="11"/>
  <c r="F12" i="11" s="1"/>
  <c r="M12" i="11" s="1"/>
  <c r="F43" i="8" s="1"/>
  <c r="L70" i="10"/>
  <c r="E13" i="10" s="1"/>
  <c r="L13" i="10" s="1"/>
  <c r="B46" i="12"/>
  <c r="C46" i="12" s="1"/>
  <c r="B46" i="14"/>
  <c r="C46" i="14" s="1"/>
  <c r="B46" i="13"/>
  <c r="C46" i="13" s="1"/>
  <c r="B70" i="13"/>
  <c r="C70" i="13" s="1"/>
  <c r="B70" i="14"/>
  <c r="C70" i="14" s="1"/>
  <c r="B70" i="12"/>
  <c r="C70" i="12" s="1"/>
  <c r="B32" i="14"/>
  <c r="C32" i="14" s="1"/>
  <c r="B32" i="12"/>
  <c r="C32" i="12" s="1"/>
  <c r="B32" i="13"/>
  <c r="C32" i="13" s="1"/>
  <c r="O59" i="17"/>
  <c r="D14" i="17" s="1"/>
  <c r="K14" i="17" s="1"/>
  <c r="R45" i="8" s="1"/>
  <c r="O82" i="11"/>
  <c r="F13" i="11" s="1"/>
  <c r="O78" i="10"/>
  <c r="C9" i="11"/>
  <c r="C9" i="16"/>
  <c r="D9" i="11"/>
  <c r="M46" i="15"/>
  <c r="C13" i="15" s="1"/>
  <c r="J13" i="15" s="1"/>
  <c r="Q14" i="8" s="1"/>
  <c r="L67" i="10"/>
  <c r="E10" i="10" s="1"/>
  <c r="L10" i="10" s="1"/>
  <c r="O78" i="11"/>
  <c r="O82" i="16"/>
  <c r="F13" i="16" s="1"/>
  <c r="B66" i="14"/>
  <c r="C66" i="14" s="1"/>
  <c r="B66" i="13"/>
  <c r="C66" i="13" s="1"/>
  <c r="B66" i="12"/>
  <c r="C66" i="12" s="1"/>
  <c r="Q33" i="16"/>
  <c r="B14" i="16" s="1"/>
  <c r="I14" i="16" s="1"/>
  <c r="P30" i="8" s="1"/>
  <c r="L70" i="11"/>
  <c r="E13" i="11" s="1"/>
  <c r="L13" i="11" s="1"/>
  <c r="B45" i="12"/>
  <c r="C45" i="12" s="1"/>
  <c r="B45" i="14"/>
  <c r="C45" i="14" s="1"/>
  <c r="B45" i="13"/>
  <c r="C45" i="13" s="1"/>
  <c r="B69" i="13"/>
  <c r="C69" i="13" s="1"/>
  <c r="B69" i="12"/>
  <c r="C69" i="12" s="1"/>
  <c r="B69" i="14"/>
  <c r="C69" i="14" s="1"/>
  <c r="B31" i="12"/>
  <c r="C31" i="12" s="1"/>
  <c r="B31" i="14"/>
  <c r="C31" i="14" s="1"/>
  <c r="B31" i="13"/>
  <c r="C31" i="13" s="1"/>
  <c r="Q33" i="10"/>
  <c r="B14" i="10" s="1"/>
  <c r="I14" i="10" s="1"/>
  <c r="B30" i="8" s="1"/>
  <c r="L66" i="10"/>
  <c r="L70" i="16"/>
  <c r="E13" i="16" s="1"/>
  <c r="L13" i="16" s="1"/>
  <c r="S29" i="8" s="1"/>
  <c r="Q29" i="17"/>
  <c r="B10" i="17" s="1"/>
  <c r="I10" i="17" s="1"/>
  <c r="P41" i="8" s="1"/>
  <c r="M46" i="17"/>
  <c r="C13" i="17" s="1"/>
  <c r="J13" i="17" s="1"/>
  <c r="Q44" i="8" s="1"/>
  <c r="F9" i="15"/>
  <c r="E28" i="8"/>
  <c r="E43" i="8"/>
  <c r="B43" i="13"/>
  <c r="C43" i="13" s="1"/>
  <c r="B43" i="14"/>
  <c r="C43" i="14" s="1"/>
  <c r="B43" i="12"/>
  <c r="C43" i="12" s="1"/>
  <c r="B67" i="13"/>
  <c r="C67" i="13" s="1"/>
  <c r="B67" i="14"/>
  <c r="C67" i="14" s="1"/>
  <c r="B67" i="12"/>
  <c r="C67" i="12" s="1"/>
  <c r="B29" i="12"/>
  <c r="C29" i="12" s="1"/>
  <c r="B29" i="14"/>
  <c r="C29" i="14" s="1"/>
  <c r="B29" i="13"/>
  <c r="C29" i="13" s="1"/>
  <c r="Q31" i="17"/>
  <c r="B12" i="17" s="1"/>
  <c r="I12" i="17" s="1"/>
  <c r="P43" i="8" s="1"/>
  <c r="M44" i="16"/>
  <c r="C11" i="16" s="1"/>
  <c r="J11" i="16" s="1"/>
  <c r="Q27" i="8" s="1"/>
  <c r="L69" i="15"/>
  <c r="E12" i="15" s="1"/>
  <c r="L12" i="15" s="1"/>
  <c r="S13" i="8" s="1"/>
  <c r="O58" i="15"/>
  <c r="D13" i="15" s="1"/>
  <c r="K13" i="15" s="1"/>
  <c r="R14" i="8" s="1"/>
  <c r="L69" i="17"/>
  <c r="E12" i="17" s="1"/>
  <c r="L12" i="17" s="1"/>
  <c r="S43" i="8" s="1"/>
  <c r="B25" i="1"/>
  <c r="C25" i="1"/>
  <c r="D25" i="1"/>
  <c r="E25" i="1"/>
  <c r="F25" i="1"/>
  <c r="C20" i="1"/>
  <c r="D20" i="1"/>
  <c r="E20" i="1"/>
  <c r="F20" i="1"/>
  <c r="C21" i="1"/>
  <c r="D21" i="1"/>
  <c r="E21" i="1"/>
  <c r="F21" i="1"/>
  <c r="C22" i="1"/>
  <c r="D22" i="1"/>
  <c r="E22" i="1"/>
  <c r="F22" i="1"/>
  <c r="C23" i="1"/>
  <c r="D23" i="1"/>
  <c r="E23" i="1"/>
  <c r="C24" i="1"/>
  <c r="D24" i="1"/>
  <c r="E24" i="1"/>
  <c r="F24" i="1"/>
  <c r="B21" i="1"/>
  <c r="B22" i="1"/>
  <c r="B23" i="1"/>
  <c r="I13" i="18"/>
  <c r="B14" i="8" s="1"/>
  <c r="B20" i="1"/>
  <c r="F9" i="1"/>
  <c r="F23" i="1" s="1"/>
  <c r="I13" i="17" l="1"/>
  <c r="P44" i="8" s="1"/>
  <c r="I13" i="16"/>
  <c r="P29" i="8" s="1"/>
  <c r="I13" i="11"/>
  <c r="B44" i="8" s="1"/>
  <c r="I13" i="10"/>
  <c r="B29" i="8" s="1"/>
  <c r="I13" i="15"/>
  <c r="P14" i="8" s="1"/>
  <c r="F15" i="17"/>
  <c r="M15" i="17" s="1"/>
  <c r="T46" i="8" s="1"/>
  <c r="O84" i="17"/>
  <c r="O84" i="16"/>
  <c r="E42" i="8"/>
  <c r="F15" i="16"/>
  <c r="M15" i="16" s="1"/>
  <c r="T31" i="8" s="1"/>
  <c r="L72" i="17"/>
  <c r="M48" i="16"/>
  <c r="O84" i="15"/>
  <c r="F15" i="15"/>
  <c r="M15" i="15" s="1"/>
  <c r="T16" i="8" s="1"/>
  <c r="M48" i="11"/>
  <c r="M48" i="15"/>
  <c r="D29" i="8"/>
  <c r="E45" i="8"/>
  <c r="M48" i="10"/>
  <c r="L72" i="15"/>
  <c r="Q34" i="11"/>
  <c r="D27" i="8"/>
  <c r="O60" i="11"/>
  <c r="F80" i="14"/>
  <c r="M80" i="14" s="1"/>
  <c r="L80" i="14"/>
  <c r="F57" i="12"/>
  <c r="M57" i="12" s="1"/>
  <c r="L57" i="12"/>
  <c r="K68" i="13"/>
  <c r="J68" i="13"/>
  <c r="H28" i="12"/>
  <c r="O28" i="12" s="1"/>
  <c r="N28" i="12"/>
  <c r="F82" i="13"/>
  <c r="M82" i="13" s="1"/>
  <c r="L82" i="13"/>
  <c r="H30" i="12"/>
  <c r="O30" i="12" s="1"/>
  <c r="N30" i="12"/>
  <c r="F83" i="14"/>
  <c r="M83" i="14" s="1"/>
  <c r="L83" i="14"/>
  <c r="H28" i="14"/>
  <c r="O28" i="14" s="1"/>
  <c r="N28" i="14"/>
  <c r="B9" i="10"/>
  <c r="Q34" i="10"/>
  <c r="F83" i="13"/>
  <c r="M83" i="13" s="1"/>
  <c r="L83" i="13"/>
  <c r="L9" i="17"/>
  <c r="S40" i="8" s="1"/>
  <c r="E15" i="17"/>
  <c r="L15" i="17" s="1"/>
  <c r="S46" i="8" s="1"/>
  <c r="H30" i="13"/>
  <c r="O30" i="13" s="1"/>
  <c r="N30" i="13"/>
  <c r="J67" i="14"/>
  <c r="K67" i="14"/>
  <c r="H33" i="13"/>
  <c r="O33" i="13" s="1"/>
  <c r="N33" i="13"/>
  <c r="K67" i="13"/>
  <c r="J67" i="13"/>
  <c r="J9" i="16"/>
  <c r="Q25" i="8" s="1"/>
  <c r="C15" i="16"/>
  <c r="J15" i="16" s="1"/>
  <c r="Q31" i="8" s="1"/>
  <c r="F79" i="12"/>
  <c r="M79" i="12" s="1"/>
  <c r="L79" i="12"/>
  <c r="F44" i="12"/>
  <c r="L44" i="12" s="1"/>
  <c r="K44" i="12"/>
  <c r="M44" i="12" s="1"/>
  <c r="C11" i="12" s="1"/>
  <c r="J11" i="12" s="1"/>
  <c r="J12" i="8" s="1"/>
  <c r="F58" i="13"/>
  <c r="M58" i="13" s="1"/>
  <c r="L58" i="13"/>
  <c r="J69" i="13"/>
  <c r="K69" i="13"/>
  <c r="J66" i="14"/>
  <c r="K66" i="14"/>
  <c r="J71" i="12"/>
  <c r="K71" i="12"/>
  <c r="I9" i="11"/>
  <c r="B40" i="8" s="1"/>
  <c r="B15" i="11"/>
  <c r="F79" i="14"/>
  <c r="M79" i="14" s="1"/>
  <c r="L79" i="14"/>
  <c r="O79" i="14" s="1"/>
  <c r="F10" i="14" s="1"/>
  <c r="F56" i="13"/>
  <c r="M56" i="13" s="1"/>
  <c r="L56" i="13"/>
  <c r="F54" i="13"/>
  <c r="M54" i="13" s="1"/>
  <c r="L54" i="13"/>
  <c r="F44" i="13"/>
  <c r="L44" i="13" s="1"/>
  <c r="K44" i="13"/>
  <c r="L58" i="12"/>
  <c r="F58" i="12"/>
  <c r="M58" i="12" s="1"/>
  <c r="F59" i="14"/>
  <c r="M59" i="14" s="1"/>
  <c r="L59" i="14"/>
  <c r="H31" i="12"/>
  <c r="O31" i="12" s="1"/>
  <c r="N31" i="12"/>
  <c r="Q31" i="12" s="1"/>
  <c r="B12" i="12" s="1"/>
  <c r="I12" i="12" s="1"/>
  <c r="I13" i="8" s="1"/>
  <c r="K70" i="12"/>
  <c r="J70" i="12"/>
  <c r="D9" i="16"/>
  <c r="O60" i="16"/>
  <c r="E15" i="15"/>
  <c r="L15" i="15" s="1"/>
  <c r="S16" i="8" s="1"/>
  <c r="L9" i="15"/>
  <c r="S10" i="8" s="1"/>
  <c r="K70" i="14"/>
  <c r="J70" i="14"/>
  <c r="L70" i="14" s="1"/>
  <c r="E13" i="14" s="1"/>
  <c r="L13" i="14" s="1"/>
  <c r="L44" i="8" s="1"/>
  <c r="F80" i="12"/>
  <c r="M80" i="12" s="1"/>
  <c r="L80" i="12"/>
  <c r="J70" i="13"/>
  <c r="K70" i="13"/>
  <c r="F43" i="12"/>
  <c r="L43" i="12" s="1"/>
  <c r="K43" i="12"/>
  <c r="M43" i="12" s="1"/>
  <c r="C10" i="12" s="1"/>
  <c r="J9" i="11"/>
  <c r="C40" i="8" s="1"/>
  <c r="C15" i="11"/>
  <c r="J15" i="11" s="1"/>
  <c r="C46" i="8" s="1"/>
  <c r="F46" i="13"/>
  <c r="L46" i="13" s="1"/>
  <c r="K46" i="13"/>
  <c r="K71" i="14"/>
  <c r="J71" i="14"/>
  <c r="F56" i="12"/>
  <c r="M56" i="12" s="1"/>
  <c r="L56" i="12"/>
  <c r="F54" i="14"/>
  <c r="M54" i="14" s="1"/>
  <c r="L54" i="14"/>
  <c r="C15" i="10"/>
  <c r="J15" i="10" s="1"/>
  <c r="C31" i="8" s="1"/>
  <c r="J9" i="10"/>
  <c r="C25" i="8" s="1"/>
  <c r="D9" i="15"/>
  <c r="O60" i="15"/>
  <c r="F58" i="14"/>
  <c r="M58" i="14" s="1"/>
  <c r="L58" i="14"/>
  <c r="F59" i="13"/>
  <c r="M59" i="13" s="1"/>
  <c r="L59" i="13"/>
  <c r="H33" i="14"/>
  <c r="O33" i="14" s="1"/>
  <c r="N33" i="14"/>
  <c r="H33" i="12"/>
  <c r="O33" i="12" s="1"/>
  <c r="N33" i="12"/>
  <c r="H28" i="13"/>
  <c r="O28" i="13" s="1"/>
  <c r="N28" i="13"/>
  <c r="F44" i="14"/>
  <c r="L44" i="14" s="1"/>
  <c r="K44" i="14"/>
  <c r="F43" i="14"/>
  <c r="L43" i="14" s="1"/>
  <c r="K43" i="14"/>
  <c r="K45" i="13"/>
  <c r="F45" i="13"/>
  <c r="L45" i="13" s="1"/>
  <c r="F9" i="10"/>
  <c r="F15" i="10" s="1"/>
  <c r="M15" i="10" s="1"/>
  <c r="O84" i="10"/>
  <c r="F46" i="14"/>
  <c r="L46" i="14" s="1"/>
  <c r="K46" i="14"/>
  <c r="K71" i="13"/>
  <c r="J71" i="13"/>
  <c r="C15" i="15"/>
  <c r="J15" i="15" s="1"/>
  <c r="Q16" i="8" s="1"/>
  <c r="J9" i="15"/>
  <c r="Q10" i="8" s="1"/>
  <c r="F55" i="12"/>
  <c r="M55" i="12" s="1"/>
  <c r="L55" i="12"/>
  <c r="F56" i="14"/>
  <c r="M56" i="14" s="1"/>
  <c r="L56" i="14"/>
  <c r="F54" i="12"/>
  <c r="M54" i="12" s="1"/>
  <c r="L54" i="12"/>
  <c r="Q34" i="17"/>
  <c r="L59" i="12"/>
  <c r="F59" i="12"/>
  <c r="M59" i="12" s="1"/>
  <c r="F78" i="13"/>
  <c r="M78" i="13" s="1"/>
  <c r="L78" i="13"/>
  <c r="D15" i="11"/>
  <c r="K15" i="11" s="1"/>
  <c r="K9" i="11"/>
  <c r="F80" i="13"/>
  <c r="M80" i="13" s="1"/>
  <c r="L80" i="13"/>
  <c r="L83" i="12"/>
  <c r="F83" i="12"/>
  <c r="M83" i="12" s="1"/>
  <c r="K66" i="13"/>
  <c r="J66" i="13"/>
  <c r="F43" i="13"/>
  <c r="L43" i="13" s="1"/>
  <c r="K43" i="13"/>
  <c r="F55" i="14"/>
  <c r="M55" i="14" s="1"/>
  <c r="L55" i="14"/>
  <c r="F45" i="12"/>
  <c r="L45" i="12" s="1"/>
  <c r="K45" i="12"/>
  <c r="F47" i="13"/>
  <c r="L47" i="13" s="1"/>
  <c r="K47" i="13"/>
  <c r="F55" i="13"/>
  <c r="M55" i="13" s="1"/>
  <c r="L55" i="13"/>
  <c r="F81" i="12"/>
  <c r="M81" i="12" s="1"/>
  <c r="L81" i="12"/>
  <c r="Q34" i="16"/>
  <c r="F42" i="14"/>
  <c r="L42" i="14" s="1"/>
  <c r="K42" i="14"/>
  <c r="D9" i="17"/>
  <c r="O60" i="17"/>
  <c r="F78" i="14"/>
  <c r="M78" i="14" s="1"/>
  <c r="L78" i="14"/>
  <c r="K67" i="12"/>
  <c r="J67" i="12"/>
  <c r="J66" i="12"/>
  <c r="K66" i="12"/>
  <c r="F79" i="13"/>
  <c r="M79" i="13" s="1"/>
  <c r="L79" i="13"/>
  <c r="O79" i="13" s="1"/>
  <c r="F10" i="13" s="1"/>
  <c r="H29" i="13"/>
  <c r="O29" i="13" s="1"/>
  <c r="N29" i="13"/>
  <c r="H32" i="13"/>
  <c r="O32" i="13" s="1"/>
  <c r="N32" i="13"/>
  <c r="F47" i="12"/>
  <c r="L47" i="12" s="1"/>
  <c r="K47" i="12"/>
  <c r="F81" i="13"/>
  <c r="M81" i="13" s="1"/>
  <c r="O81" i="13" s="1"/>
  <c r="F12" i="13" s="1"/>
  <c r="M12" i="13" s="1"/>
  <c r="M28" i="8" s="1"/>
  <c r="L81" i="13"/>
  <c r="I9" i="16"/>
  <c r="P25" i="8" s="1"/>
  <c r="B15" i="16"/>
  <c r="F42" i="12"/>
  <c r="L42" i="12" s="1"/>
  <c r="K42" i="12"/>
  <c r="M42" i="12" s="1"/>
  <c r="F78" i="12"/>
  <c r="M78" i="12" s="1"/>
  <c r="L78" i="12"/>
  <c r="E44" i="8"/>
  <c r="E29" i="8"/>
  <c r="O60" i="10"/>
  <c r="H32" i="12"/>
  <c r="O32" i="12" s="1"/>
  <c r="N32" i="12"/>
  <c r="F47" i="14"/>
  <c r="L47" i="14" s="1"/>
  <c r="K47" i="14"/>
  <c r="F81" i="14"/>
  <c r="M81" i="14" s="1"/>
  <c r="L81" i="14"/>
  <c r="O81" i="14" s="1"/>
  <c r="F12" i="14" s="1"/>
  <c r="M12" i="14" s="1"/>
  <c r="M43" i="8" s="1"/>
  <c r="K68" i="12"/>
  <c r="J68" i="12"/>
  <c r="F42" i="13"/>
  <c r="L42" i="13" s="1"/>
  <c r="K42" i="13"/>
  <c r="M42" i="13" s="1"/>
  <c r="L72" i="11"/>
  <c r="D28" i="8"/>
  <c r="D43" i="8"/>
  <c r="L57" i="14"/>
  <c r="F57" i="14"/>
  <c r="M57" i="14" s="1"/>
  <c r="F82" i="14"/>
  <c r="M82" i="14" s="1"/>
  <c r="L82" i="14"/>
  <c r="K69" i="14"/>
  <c r="J69" i="14"/>
  <c r="F57" i="13"/>
  <c r="M57" i="13" s="1"/>
  <c r="L57" i="13"/>
  <c r="K69" i="12"/>
  <c r="J69" i="12"/>
  <c r="F45" i="14"/>
  <c r="L45" i="14" s="1"/>
  <c r="K45" i="14"/>
  <c r="F9" i="11"/>
  <c r="F15" i="11" s="1"/>
  <c r="M15" i="11" s="1"/>
  <c r="F46" i="8" s="1"/>
  <c r="O84" i="11"/>
  <c r="K46" i="12"/>
  <c r="F46" i="12"/>
  <c r="L46" i="12" s="1"/>
  <c r="I9" i="17"/>
  <c r="P40" i="8" s="1"/>
  <c r="B15" i="17"/>
  <c r="E9" i="10"/>
  <c r="L72" i="10"/>
  <c r="H29" i="14"/>
  <c r="O29" i="14" s="1"/>
  <c r="N29" i="14"/>
  <c r="H31" i="13"/>
  <c r="O31" i="13" s="1"/>
  <c r="N31" i="13"/>
  <c r="H29" i="12"/>
  <c r="O29" i="12" s="1"/>
  <c r="N29" i="12"/>
  <c r="H31" i="14"/>
  <c r="O31" i="14" s="1"/>
  <c r="N31" i="14"/>
  <c r="D15" i="10"/>
  <c r="K15" i="10" s="1"/>
  <c r="K9" i="10"/>
  <c r="H32" i="14"/>
  <c r="O32" i="14" s="1"/>
  <c r="N32" i="14"/>
  <c r="B9" i="15"/>
  <c r="Q34" i="15"/>
  <c r="K68" i="14"/>
  <c r="J68" i="14"/>
  <c r="L9" i="11"/>
  <c r="E15" i="11"/>
  <c r="L15" i="11" s="1"/>
  <c r="C9" i="17"/>
  <c r="M48" i="17"/>
  <c r="F82" i="12"/>
  <c r="M82" i="12" s="1"/>
  <c r="L82" i="12"/>
  <c r="H30" i="14"/>
  <c r="O30" i="14" s="1"/>
  <c r="N30" i="14"/>
  <c r="E9" i="16"/>
  <c r="L72" i="16"/>
  <c r="B26" i="1"/>
  <c r="I15" i="18" s="1"/>
  <c r="B16" i="8" s="1"/>
  <c r="F26" i="1"/>
  <c r="D26" i="1"/>
  <c r="E26" i="1"/>
  <c r="C26" i="1"/>
  <c r="I15" i="17" l="1"/>
  <c r="P46" i="8" s="1"/>
  <c r="I15" i="16"/>
  <c r="P31" i="8" s="1"/>
  <c r="I15" i="11"/>
  <c r="B46" i="8" s="1"/>
  <c r="M47" i="14"/>
  <c r="C14" i="14" s="1"/>
  <c r="O81" i="12"/>
  <c r="F12" i="12" s="1"/>
  <c r="M12" i="12" s="1"/>
  <c r="M13" i="8" s="1"/>
  <c r="L66" i="13"/>
  <c r="L69" i="14"/>
  <c r="E12" i="14" s="1"/>
  <c r="L12" i="14" s="1"/>
  <c r="L43" i="8" s="1"/>
  <c r="L68" i="12"/>
  <c r="E11" i="12" s="1"/>
  <c r="L11" i="12" s="1"/>
  <c r="L12" i="8" s="1"/>
  <c r="O78" i="12"/>
  <c r="O78" i="13"/>
  <c r="M44" i="13"/>
  <c r="C11" i="13" s="1"/>
  <c r="J11" i="13" s="1"/>
  <c r="J27" i="8" s="1"/>
  <c r="O79" i="12"/>
  <c r="F10" i="12" s="1"/>
  <c r="L71" i="13"/>
  <c r="E14" i="13" s="1"/>
  <c r="L14" i="13" s="1"/>
  <c r="L30" i="8" s="1"/>
  <c r="Q28" i="13"/>
  <c r="B9" i="13" s="1"/>
  <c r="O54" i="13"/>
  <c r="D9" i="13" s="1"/>
  <c r="M46" i="14"/>
  <c r="C13" i="14" s="1"/>
  <c r="J13" i="14" s="1"/>
  <c r="J44" i="8" s="1"/>
  <c r="Q33" i="12"/>
  <c r="B14" i="12" s="1"/>
  <c r="I14" i="12" s="1"/>
  <c r="I15" i="8" s="1"/>
  <c r="O54" i="14"/>
  <c r="O83" i="13"/>
  <c r="F14" i="13" s="1"/>
  <c r="Q28" i="12"/>
  <c r="O82" i="12"/>
  <c r="F13" i="12" s="1"/>
  <c r="L68" i="13"/>
  <c r="E11" i="13" s="1"/>
  <c r="L11" i="13" s="1"/>
  <c r="L27" i="8" s="1"/>
  <c r="M47" i="13"/>
  <c r="C14" i="13" s="1"/>
  <c r="O83" i="12"/>
  <c r="F14" i="12" s="1"/>
  <c r="O56" i="14"/>
  <c r="D11" i="14" s="1"/>
  <c r="K11" i="14" s="1"/>
  <c r="K42" i="8" s="1"/>
  <c r="O59" i="13"/>
  <c r="D14" i="13" s="1"/>
  <c r="K14" i="13" s="1"/>
  <c r="K30" i="8" s="1"/>
  <c r="L71" i="14"/>
  <c r="E14" i="14" s="1"/>
  <c r="L14" i="14" s="1"/>
  <c r="L45" i="8" s="1"/>
  <c r="Q28" i="14"/>
  <c r="B9" i="14" s="1"/>
  <c r="O57" i="12"/>
  <c r="D12" i="12" s="1"/>
  <c r="K12" i="12" s="1"/>
  <c r="K13" i="8" s="1"/>
  <c r="Q29" i="12"/>
  <c r="B10" i="12" s="1"/>
  <c r="I10" i="12" s="1"/>
  <c r="I11" i="8" s="1"/>
  <c r="M45" i="12"/>
  <c r="C12" i="12" s="1"/>
  <c r="J12" i="12" s="1"/>
  <c r="J13" i="8" s="1"/>
  <c r="O55" i="12"/>
  <c r="D10" i="12" s="1"/>
  <c r="K10" i="12" s="1"/>
  <c r="K11" i="8" s="1"/>
  <c r="O58" i="14"/>
  <c r="D13" i="14" s="1"/>
  <c r="K13" i="14" s="1"/>
  <c r="K44" i="8" s="1"/>
  <c r="O83" i="14"/>
  <c r="F14" i="14" s="1"/>
  <c r="O80" i="14"/>
  <c r="F11" i="14" s="1"/>
  <c r="E40" i="8"/>
  <c r="E25" i="8"/>
  <c r="L68" i="14"/>
  <c r="E11" i="14" s="1"/>
  <c r="L11" i="14" s="1"/>
  <c r="L42" i="8" s="1"/>
  <c r="L9" i="10"/>
  <c r="E15" i="10"/>
  <c r="L15" i="10" s="1"/>
  <c r="O57" i="13"/>
  <c r="D12" i="13" s="1"/>
  <c r="K12" i="13" s="1"/>
  <c r="K28" i="8" s="1"/>
  <c r="Q32" i="13"/>
  <c r="B13" i="13" s="1"/>
  <c r="I13" i="13" s="1"/>
  <c r="I29" i="8" s="1"/>
  <c r="D15" i="17"/>
  <c r="K15" i="17" s="1"/>
  <c r="R46" i="8" s="1"/>
  <c r="K9" i="17"/>
  <c r="R40" i="8" s="1"/>
  <c r="O55" i="14"/>
  <c r="D10" i="14" s="1"/>
  <c r="K10" i="14" s="1"/>
  <c r="K41" i="8" s="1"/>
  <c r="D46" i="8"/>
  <c r="D31" i="8"/>
  <c r="M44" i="14"/>
  <c r="C11" i="14" s="1"/>
  <c r="J11" i="14" s="1"/>
  <c r="J42" i="8" s="1"/>
  <c r="O58" i="12"/>
  <c r="D13" i="12" s="1"/>
  <c r="K13" i="12" s="1"/>
  <c r="K14" i="8" s="1"/>
  <c r="L71" i="12"/>
  <c r="E14" i="12" s="1"/>
  <c r="L14" i="12" s="1"/>
  <c r="L15" i="8" s="1"/>
  <c r="Q30" i="12"/>
  <c r="B11" i="12" s="1"/>
  <c r="O82" i="13"/>
  <c r="F13" i="13" s="1"/>
  <c r="Q29" i="13"/>
  <c r="B10" i="13" s="1"/>
  <c r="I10" i="13" s="1"/>
  <c r="I26" i="8" s="1"/>
  <c r="L66" i="14"/>
  <c r="Q30" i="14"/>
  <c r="B11" i="14" s="1"/>
  <c r="Q32" i="14"/>
  <c r="B13" i="14" s="1"/>
  <c r="I13" i="14" s="1"/>
  <c r="I44" i="8" s="1"/>
  <c r="Q31" i="13"/>
  <c r="B12" i="13" s="1"/>
  <c r="I12" i="13" s="1"/>
  <c r="I28" i="8" s="1"/>
  <c r="M46" i="12"/>
  <c r="C13" i="12" s="1"/>
  <c r="J13" i="12" s="1"/>
  <c r="J14" i="8" s="1"/>
  <c r="O82" i="14"/>
  <c r="F13" i="14" s="1"/>
  <c r="O59" i="12"/>
  <c r="D14" i="12" s="1"/>
  <c r="K14" i="12" s="1"/>
  <c r="K15" i="8" s="1"/>
  <c r="D9" i="14"/>
  <c r="K9" i="16"/>
  <c r="R25" i="8" s="1"/>
  <c r="D15" i="16"/>
  <c r="K15" i="16" s="1"/>
  <c r="R31" i="8" s="1"/>
  <c r="L69" i="13"/>
  <c r="E12" i="13" s="1"/>
  <c r="L12" i="13" s="1"/>
  <c r="L28" i="8" s="1"/>
  <c r="B9" i="12"/>
  <c r="E9" i="13"/>
  <c r="L70" i="12"/>
  <c r="E13" i="12" s="1"/>
  <c r="L13" i="12" s="1"/>
  <c r="L14" i="8" s="1"/>
  <c r="O56" i="13"/>
  <c r="D11" i="13" s="1"/>
  <c r="K11" i="13" s="1"/>
  <c r="K27" i="8" s="1"/>
  <c r="L67" i="13"/>
  <c r="E10" i="13" s="1"/>
  <c r="L10" i="13" s="1"/>
  <c r="L26" i="8" s="1"/>
  <c r="L66" i="12"/>
  <c r="O55" i="13"/>
  <c r="D10" i="13" s="1"/>
  <c r="K10" i="13" s="1"/>
  <c r="K26" i="8" s="1"/>
  <c r="O54" i="12"/>
  <c r="Q33" i="14"/>
  <c r="B14" i="14" s="1"/>
  <c r="I14" i="14" s="1"/>
  <c r="I45" i="8" s="1"/>
  <c r="O56" i="12"/>
  <c r="D11" i="12" s="1"/>
  <c r="K11" i="12" s="1"/>
  <c r="K12" i="8" s="1"/>
  <c r="I9" i="15"/>
  <c r="P10" i="8" s="1"/>
  <c r="B15" i="15"/>
  <c r="I15" i="15" s="1"/>
  <c r="P16" i="8" s="1"/>
  <c r="C9" i="12"/>
  <c r="M45" i="14"/>
  <c r="C12" i="14" s="1"/>
  <c r="J12" i="14" s="1"/>
  <c r="J43" i="8" s="1"/>
  <c r="O57" i="14"/>
  <c r="D12" i="14" s="1"/>
  <c r="K12" i="14" s="1"/>
  <c r="K43" i="8" s="1"/>
  <c r="Q32" i="12"/>
  <c r="B13" i="12" s="1"/>
  <c r="I13" i="12" s="1"/>
  <c r="I14" i="8" s="1"/>
  <c r="L67" i="12"/>
  <c r="E10" i="12" s="1"/>
  <c r="L10" i="12" s="1"/>
  <c r="L11" i="8" s="1"/>
  <c r="B15" i="10"/>
  <c r="I15" i="10" s="1"/>
  <c r="B31" i="8" s="1"/>
  <c r="I9" i="10"/>
  <c r="B25" i="8" s="1"/>
  <c r="M42" i="14"/>
  <c r="Q29" i="14"/>
  <c r="B10" i="14" s="1"/>
  <c r="I10" i="14" s="1"/>
  <c r="I41" i="8" s="1"/>
  <c r="L70" i="13"/>
  <c r="E13" i="13" s="1"/>
  <c r="L13" i="13" s="1"/>
  <c r="L29" i="8" s="1"/>
  <c r="Q33" i="13"/>
  <c r="B14" i="13" s="1"/>
  <c r="I14" i="13" s="1"/>
  <c r="I30" i="8" s="1"/>
  <c r="F9" i="12"/>
  <c r="C15" i="17"/>
  <c r="J15" i="17" s="1"/>
  <c r="Q46" i="8" s="1"/>
  <c r="J9" i="17"/>
  <c r="Q40" i="8" s="1"/>
  <c r="Q31" i="14"/>
  <c r="B12" i="14" s="1"/>
  <c r="I12" i="14" s="1"/>
  <c r="I43" i="8" s="1"/>
  <c r="L69" i="12"/>
  <c r="E12" i="12" s="1"/>
  <c r="L12" i="12" s="1"/>
  <c r="L13" i="8" s="1"/>
  <c r="M47" i="12"/>
  <c r="C14" i="12" s="1"/>
  <c r="O78" i="14"/>
  <c r="O80" i="13"/>
  <c r="F11" i="13" s="1"/>
  <c r="M45" i="13"/>
  <c r="C12" i="13" s="1"/>
  <c r="J12" i="13" s="1"/>
  <c r="J28" i="8" s="1"/>
  <c r="O80" i="12"/>
  <c r="F11" i="12" s="1"/>
  <c r="O59" i="14"/>
  <c r="D14" i="14" s="1"/>
  <c r="K14" i="14" s="1"/>
  <c r="K45" i="8" s="1"/>
  <c r="O58" i="13"/>
  <c r="D13" i="13" s="1"/>
  <c r="K13" i="13" s="1"/>
  <c r="K29" i="8" s="1"/>
  <c r="F9" i="13"/>
  <c r="D15" i="15"/>
  <c r="K15" i="15" s="1"/>
  <c r="R16" i="8" s="1"/>
  <c r="K9" i="15"/>
  <c r="R10" i="8" s="1"/>
  <c r="L9" i="16"/>
  <c r="S25" i="8" s="1"/>
  <c r="E15" i="16"/>
  <c r="L15" i="16" s="1"/>
  <c r="S31" i="8" s="1"/>
  <c r="M43" i="13"/>
  <c r="C10" i="13" s="1"/>
  <c r="E31" i="8"/>
  <c r="E46" i="8"/>
  <c r="L67" i="14"/>
  <c r="E10" i="14" s="1"/>
  <c r="L10" i="14" s="1"/>
  <c r="L41" i="8" s="1"/>
  <c r="C9" i="13"/>
  <c r="D40" i="8"/>
  <c r="D25" i="8"/>
  <c r="M43" i="14"/>
  <c r="C10" i="14" s="1"/>
  <c r="M46" i="13"/>
  <c r="C13" i="13" s="1"/>
  <c r="J13" i="13" s="1"/>
  <c r="J29" i="8" s="1"/>
  <c r="Q30" i="13"/>
  <c r="B11" i="13" s="1"/>
  <c r="F15" i="12" l="1"/>
  <c r="M15" i="12" s="1"/>
  <c r="M16" i="8" s="1"/>
  <c r="O84" i="13"/>
  <c r="O84" i="12"/>
  <c r="O60" i="14"/>
  <c r="F15" i="13"/>
  <c r="M15" i="13" s="1"/>
  <c r="M31" i="8" s="1"/>
  <c r="M48" i="13"/>
  <c r="Q34" i="14"/>
  <c r="M48" i="12"/>
  <c r="L72" i="13"/>
  <c r="Q34" i="13"/>
  <c r="Q34" i="12"/>
  <c r="O60" i="13"/>
  <c r="I9" i="12"/>
  <c r="I10" i="8" s="1"/>
  <c r="B15" i="12"/>
  <c r="I15" i="12" s="1"/>
  <c r="I16" i="8" s="1"/>
  <c r="F9" i="14"/>
  <c r="F15" i="14" s="1"/>
  <c r="M15" i="14" s="1"/>
  <c r="M46" i="8" s="1"/>
  <c r="O84" i="14"/>
  <c r="D15" i="13"/>
  <c r="K15" i="13" s="1"/>
  <c r="K31" i="8" s="1"/>
  <c r="K9" i="13"/>
  <c r="K25" i="8" s="1"/>
  <c r="K9" i="14"/>
  <c r="K40" i="8" s="1"/>
  <c r="D15" i="14"/>
  <c r="K15" i="14" s="1"/>
  <c r="K46" i="8" s="1"/>
  <c r="D9" i="12"/>
  <c r="O60" i="12"/>
  <c r="E9" i="12"/>
  <c r="L72" i="12"/>
  <c r="C9" i="14"/>
  <c r="M48" i="14"/>
  <c r="E9" i="14"/>
  <c r="L72" i="14"/>
  <c r="J9" i="13"/>
  <c r="J25" i="8" s="1"/>
  <c r="C15" i="13"/>
  <c r="J15" i="13" s="1"/>
  <c r="J31" i="8" s="1"/>
  <c r="B15" i="14"/>
  <c r="I15" i="14" s="1"/>
  <c r="I46" i="8" s="1"/>
  <c r="I9" i="14"/>
  <c r="I40" i="8" s="1"/>
  <c r="J9" i="12"/>
  <c r="J10" i="8" s="1"/>
  <c r="C15" i="12"/>
  <c r="J15" i="12" s="1"/>
  <c r="J16" i="8" s="1"/>
  <c r="L9" i="13"/>
  <c r="L25" i="8" s="1"/>
  <c r="E15" i="13"/>
  <c r="L15" i="13" s="1"/>
  <c r="L31" i="8" s="1"/>
  <c r="I9" i="13"/>
  <c r="I25" i="8" s="1"/>
  <c r="B15" i="13"/>
  <c r="I15" i="13" s="1"/>
  <c r="I31" i="8" s="1"/>
  <c r="L9" i="12" l="1"/>
  <c r="L10" i="8" s="1"/>
  <c r="E15" i="12"/>
  <c r="L15" i="12" s="1"/>
  <c r="L16" i="8" s="1"/>
  <c r="K9" i="12"/>
  <c r="K10" i="8" s="1"/>
  <c r="D15" i="12"/>
  <c r="K15" i="12" s="1"/>
  <c r="K16" i="8" s="1"/>
  <c r="L9" i="14"/>
  <c r="L40" i="8" s="1"/>
  <c r="E15" i="14"/>
  <c r="L15" i="14" s="1"/>
  <c r="L46" i="8" s="1"/>
  <c r="C15" i="14"/>
  <c r="J15" i="14" s="1"/>
  <c r="J46" i="8" s="1"/>
  <c r="J9" i="14"/>
  <c r="J40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Marisa Morita</author>
    <author>Autor</author>
    <author>Alexandre Macedo</author>
  </authors>
  <commentList>
    <comment ref="B3" authorId="0" shapeId="0" xr:uid="{3F6F2FA1-79B0-4D75-912B-0239CB96A4D6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Mudar apenas essas células</t>
        </r>
      </text>
    </comment>
    <comment ref="B4" authorId="0" shapeId="0" xr:uid="{B4AA4604-D80B-4FEE-AD0B-B2C0915493F0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Mudar apenas essas células.</t>
        </r>
      </text>
    </comment>
    <comment ref="D27" authorId="1" shapeId="0" xr:uid="{927ABA80-CE37-4BD1-8B67-74B6948B79C7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E27" authorId="1" shapeId="0" xr:uid="{8B8681CA-2FD0-440C-A3A8-D37B5BA48433}">
      <text>
        <r>
          <rPr>
            <b/>
            <sz val="9"/>
            <color indexed="81"/>
            <rFont val="Segoe UI"/>
            <family val="2"/>
          </rPr>
          <t>Autor:
Kpd:</t>
        </r>
        <r>
          <rPr>
            <sz val="9"/>
            <color indexed="81"/>
            <rFont val="Segoe UI"/>
            <family val="2"/>
          </rPr>
          <t xml:space="preserve"> Valores baseados nos dados de Ipd do SNIS dos municípios de 2022. </t>
        </r>
      </text>
    </comment>
    <comment ref="F27" authorId="2" shapeId="0" xr:uid="{B8E0B7E9-8E4D-4472-8EB4-F7E3BEC3CD1E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G27" authorId="1" shapeId="0" xr:uid="{B72B9E05-AC3D-4C71-A4C7-7C76346670A5}">
      <text>
        <r>
          <rPr>
            <b/>
            <sz val="9"/>
            <color indexed="81"/>
            <rFont val="Segoe UI"/>
            <family val="2"/>
          </rPr>
          <t xml:space="preserve">Autor:
Kconsumo:
</t>
        </r>
        <r>
          <rPr>
            <sz val="9"/>
            <color indexed="81"/>
            <rFont val="Segoe UI"/>
            <family val="2"/>
          </rPr>
          <t>No caso específico do setor de saneamento, quando houver responsáveis distintos pelos serviços de abastecimento de água e de esgotamento sanitário, e os dados informados não permitirem estabelecer o Valorcons, este cálculo poderá ser realizado utilizando-se a fórmula do § 3o
deste artigo, para a qual o valor do</t>
        </r>
        <r>
          <rPr>
            <b/>
            <sz val="9"/>
            <color indexed="81"/>
            <rFont val="Segoe UI"/>
            <family val="2"/>
          </rPr>
          <t xml:space="preserve"> Kconsumo será igual a 0,5 </t>
        </r>
        <r>
          <rPr>
            <sz val="9"/>
            <color indexed="81"/>
            <rFont val="Segoe UI"/>
            <family val="2"/>
          </rPr>
          <t>(cinco décimos)</t>
        </r>
      </text>
    </comment>
    <comment ref="H27" authorId="1" shapeId="0" xr:uid="{4B55982D-6053-4DEF-BB67-9774D0CF238D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I27" authorId="1" shapeId="0" xr:uid="{28EC06BA-AECB-41B4-B51A-F821B1C7F0AC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J27" authorId="2" shapeId="0" xr:uid="{59E4565D-A2D5-4C61-8A58-C52C82B7E7B6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K27" authorId="1" shapeId="0" xr:uid="{EA9219DD-3CD5-48EC-AF61-B3899FA0A53D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L27" authorId="2" shapeId="0" xr:uid="{F5B28F14-9689-4014-B369-29044A00E909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N27" authorId="1" shapeId="0" xr:uid="{2E02C35B-7028-4A57-9A5B-CC7D80017921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D41" authorId="1" shapeId="0" xr:uid="{449FC4EB-F7D3-4411-98AE-CCCC12B4B2BD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E41" authorId="2" shapeId="0" xr:uid="{563F8C65-231C-4B28-BB64-3CD2DA14A6AD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F41" authorId="1" shapeId="0" xr:uid="{705EE955-B936-4C68-9E34-0B9898ABDEC1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G41" authorId="1" shapeId="0" xr:uid="{361176B4-BF1F-47A6-8C4E-3D4FF4BAECC4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H41" authorId="2" shapeId="0" xr:uid="{114D33BD-2F00-4340-9AE1-9365E2738B53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J41" authorId="1" shapeId="0" xr:uid="{5AD8FC60-CE81-4149-8166-F15C2F4CAA7F}">
      <text>
        <r>
          <rPr>
            <b/>
            <sz val="9"/>
            <color indexed="81"/>
            <rFont val="Segoe UI"/>
            <family val="2"/>
          </rPr>
          <t xml:space="preserve">Autor:
Kagropec:
</t>
        </r>
        <r>
          <rPr>
            <sz val="9"/>
            <color indexed="81"/>
            <rFont val="Segoe UI"/>
            <family val="2"/>
          </rPr>
          <t>Coeficiente que leva em conta as boas práticas de uso e conservação da água na propriedade rural onde se dá o uso de recursos hídricos.
Considera-se K=0,1,  aquicultura não irrigante</t>
        </r>
      </text>
    </comment>
    <comment ref="K41" authorId="1" shapeId="0" xr:uid="{87CE48ED-92E8-440A-A4D9-EC871BF5B00E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D53" authorId="1" shapeId="0" xr:uid="{D823D389-43A8-428D-AB1C-C8F83C66BD1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E53" authorId="2" shapeId="0" xr:uid="{C1CC592D-D5F9-4A5B-9005-33046756B1DA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F53" authorId="1" shapeId="0" xr:uid="{74B493F5-0DF5-4532-B49D-49202D08135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G53" authorId="1" shapeId="0" xr:uid="{2081DD39-0C26-4E2A-AD86-703137476A05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H53" authorId="2" shapeId="0" xr:uid="{7E9F5848-059D-4FC0-B1B8-F64C90B42589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I53" authorId="1" shapeId="0" xr:uid="{EBC3346E-1B76-41FD-8B13-3B09A54F00B5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J53" authorId="2" shapeId="0" xr:uid="{61AAB469-037C-4584-B2E9-23FD7753D05E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L53" authorId="1" shapeId="0" xr:uid="{FB4902C9-D3F5-4FEC-AB72-0B2BDA94A441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D65" authorId="1" shapeId="0" xr:uid="{6DDB7C1E-F463-4C1E-9DCA-8456C48B3DB2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E65" authorId="2" shapeId="0" xr:uid="{CA01E440-F99B-4C9D-813B-F366D29DD581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F65" authorId="1" shapeId="0" xr:uid="{A185BD6D-62E9-4077-9001-56426B8A14D1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Coeficiente que leva em conta a parte da água utilizada na irrigação que não retorna
aos corpos d’água
Definido como: (Coef. De retorno)</t>
        </r>
      </text>
    </comment>
    <comment ref="G65" authorId="2" shapeId="0" xr:uid="{A3878799-F827-4865-B752-D946EE256275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I65" authorId="1" shapeId="0" xr:uid="{C789C4C3-FFB8-4A77-87B3-51946B870D39}">
      <text>
        <r>
          <rPr>
            <b/>
            <sz val="9"/>
            <color indexed="81"/>
            <rFont val="Segoe UI"/>
            <family val="2"/>
          </rPr>
          <t xml:space="preserve">Autor:
Kagropec:
</t>
        </r>
        <r>
          <rPr>
            <sz val="9"/>
            <color indexed="81"/>
            <rFont val="Segoe UI"/>
            <family val="2"/>
          </rPr>
          <t>Coeficiente que leva em conta as boas práticas de uso e conservação da água na propriedade rural onde se dá o uso de recursos hídricos.
Considera-se K=0,5,  considerando que a tecnologia não foi informada</t>
        </r>
      </text>
    </comment>
    <comment ref="J65" authorId="1" shapeId="0" xr:uid="{1A463BCD-1124-4177-A27C-A2F1996E3C8A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D77" authorId="1" shapeId="0" xr:uid="{BDD20F87-B042-45B9-929B-C34F2CD3A6B5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E77" authorId="2" shapeId="0" xr:uid="{7190C1FF-6DA6-4815-9C2D-3DA404938E7F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F77" authorId="1" shapeId="0" xr:uid="{9E9542D2-0528-4799-855D-430960C17DE8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G77" authorId="1" shapeId="0" xr:uid="{043578F9-A695-42DF-9AB7-95C095D6A771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H77" authorId="2" shapeId="0" xr:uid="{5761E202-6AD6-4037-89E8-A62DE07894A6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I77" authorId="1" shapeId="0" xr:uid="{3EF02A24-E0F0-46E8-9044-B662507751E1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J77" authorId="2" shapeId="0" xr:uid="{44BDC62C-8C41-49CF-BCBA-083DBF6D6C31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L77" authorId="1" shapeId="0" xr:uid="{A33270CC-EC7D-4A9C-813D-72E53B1791A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Marisa Morita</author>
    <author>Autor</author>
    <author>Alexandre Macedo</author>
  </authors>
  <commentList>
    <comment ref="B3" authorId="0" shapeId="0" xr:uid="{D7654491-152A-42A3-921A-0C858FF2DDCA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Mudar apenas essas células</t>
        </r>
      </text>
    </comment>
    <comment ref="B4" authorId="0" shapeId="0" xr:uid="{E6674F67-2EB3-4E24-BB08-260E4BFA0347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Mudar apenas essas células.</t>
        </r>
      </text>
    </comment>
    <comment ref="D27" authorId="1" shapeId="0" xr:uid="{CBFF23CC-FA1B-4828-A477-FEF36DF2640A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E27" authorId="1" shapeId="0" xr:uid="{A4F7FE9B-D6CD-4B7B-9368-8EA00CC25F0D}">
      <text>
        <r>
          <rPr>
            <b/>
            <sz val="9"/>
            <color indexed="81"/>
            <rFont val="Segoe UI"/>
            <family val="2"/>
          </rPr>
          <t>Autor:
Kpd:</t>
        </r>
        <r>
          <rPr>
            <sz val="9"/>
            <color indexed="81"/>
            <rFont val="Segoe UI"/>
            <family val="2"/>
          </rPr>
          <t xml:space="preserve"> Valores baseados nos dados de Ipd do SNIS dos municípios de 2022. </t>
        </r>
      </text>
    </comment>
    <comment ref="F27" authorId="2" shapeId="0" xr:uid="{0DD7C69C-746F-4004-B27F-E6CFEF0C3C02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G27" authorId="1" shapeId="0" xr:uid="{ED7FE8E7-6B97-4178-B24F-1CD8490876BC}">
      <text>
        <r>
          <rPr>
            <b/>
            <sz val="9"/>
            <color indexed="81"/>
            <rFont val="Segoe UI"/>
            <family val="2"/>
          </rPr>
          <t xml:space="preserve">Autor:
Kconsumo:
</t>
        </r>
        <r>
          <rPr>
            <sz val="9"/>
            <color indexed="81"/>
            <rFont val="Segoe UI"/>
            <family val="2"/>
          </rPr>
          <t>No caso específico do setor de saneamento, quando houver responsáveis distintos pelos serviços de abastecimento de água e de esgotamento sanitário, e os dados informados não permitirem estabelecer o Valorcons, este cálculo poderá ser realizado utilizando-se a fórmula do § 3o
deste artigo, para a qual o valor do</t>
        </r>
        <r>
          <rPr>
            <b/>
            <sz val="9"/>
            <color indexed="81"/>
            <rFont val="Segoe UI"/>
            <family val="2"/>
          </rPr>
          <t xml:space="preserve"> Kconsumo será igual a 0,5 </t>
        </r>
        <r>
          <rPr>
            <sz val="9"/>
            <color indexed="81"/>
            <rFont val="Segoe UI"/>
            <family val="2"/>
          </rPr>
          <t>(cinco décimos)</t>
        </r>
      </text>
    </comment>
    <comment ref="H27" authorId="1" shapeId="0" xr:uid="{3A765256-3523-4E16-B928-3F63095C4CD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I27" authorId="1" shapeId="0" xr:uid="{36105CFF-1FEB-4F9E-AC5A-14617725BBE5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J27" authorId="2" shapeId="0" xr:uid="{BD70F0B0-12B4-4D33-8782-01AE8DC429B2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K27" authorId="1" shapeId="0" xr:uid="{E38323BB-E329-4E9F-A95D-61C49F461C49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L27" authorId="2" shapeId="0" xr:uid="{F57EDC0A-9FF8-4E94-BCE5-972774B9669E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N27" authorId="1" shapeId="0" xr:uid="{80C97010-2CFB-4B9C-AC74-152D35F2F767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D41" authorId="1" shapeId="0" xr:uid="{2FE1B4F3-4B9D-48EF-BEC4-045106D6038B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E41" authorId="2" shapeId="0" xr:uid="{9A24C959-81BD-450D-B73D-DEBF571E6391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F41" authorId="1" shapeId="0" xr:uid="{4B1281E0-EDBA-4554-BE1D-2B84EEC09393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G41" authorId="1" shapeId="0" xr:uid="{71A2316D-2092-41BC-858E-EEFA20302926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H41" authorId="2" shapeId="0" xr:uid="{6D26C994-5438-4472-B341-B18062D339C8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J41" authorId="1" shapeId="0" xr:uid="{8301FD17-FE99-4C38-85A4-68038D2E5EB8}">
      <text>
        <r>
          <rPr>
            <b/>
            <sz val="9"/>
            <color indexed="81"/>
            <rFont val="Segoe UI"/>
            <family val="2"/>
          </rPr>
          <t xml:space="preserve">Autor:
Kagropec:
</t>
        </r>
        <r>
          <rPr>
            <sz val="9"/>
            <color indexed="81"/>
            <rFont val="Segoe UI"/>
            <family val="2"/>
          </rPr>
          <t>Coeficiente que leva em conta as boas práticas de uso e conservação da água na propriedade rural onde se dá o uso de recursos hídricos.
Considera-se K=0,1,  aquicultura não irrigante</t>
        </r>
      </text>
    </comment>
    <comment ref="K41" authorId="1" shapeId="0" xr:uid="{73EE9221-7C67-49E4-8BBD-E1AF50B112C1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D53" authorId="1" shapeId="0" xr:uid="{1A3C05B1-1AE4-4D16-AEC1-38055B2FCD9C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E53" authorId="2" shapeId="0" xr:uid="{FF1245D8-1A98-4550-B40E-42B47544BF40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F53" authorId="1" shapeId="0" xr:uid="{D24E9E31-8E84-446D-A59D-FC0717CF310B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G53" authorId="1" shapeId="0" xr:uid="{F1F42120-536F-49E5-BEA8-E412FCE45537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H53" authorId="2" shapeId="0" xr:uid="{7073593A-DA68-4E33-B6AF-72FCCD6F83E7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I53" authorId="1" shapeId="0" xr:uid="{8998381C-DA42-4A64-9672-1BB27975B25B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J53" authorId="2" shapeId="0" xr:uid="{322B8D81-23A8-4FC2-8BC3-5377B3F7940A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L53" authorId="1" shapeId="0" xr:uid="{481DD6E2-3912-49CA-93D6-B3B323204281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D65" authorId="1" shapeId="0" xr:uid="{BC252D87-8C9D-4E3B-B207-FD8356D3EF7E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E65" authorId="2" shapeId="0" xr:uid="{2ACD93F9-FDF9-4DFE-BB2F-310EEA334C02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F65" authorId="1" shapeId="0" xr:uid="{2416D798-AFC4-4EE1-B4C8-356F4F422D03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Coeficiente que leva em conta a parte da água utilizada na irrigação que não retorna
aos corpos d’água
Definido como: (Coef. De retorno)</t>
        </r>
      </text>
    </comment>
    <comment ref="G65" authorId="2" shapeId="0" xr:uid="{9C03949B-C6E1-4E58-8FE4-D7C9159DE8D9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I65" authorId="1" shapeId="0" xr:uid="{53F4789D-0A52-43F5-9160-E696B36B6FB9}">
      <text>
        <r>
          <rPr>
            <b/>
            <sz val="9"/>
            <color indexed="81"/>
            <rFont val="Segoe UI"/>
            <family val="2"/>
          </rPr>
          <t xml:space="preserve">Autor:
Kagropec:
</t>
        </r>
        <r>
          <rPr>
            <sz val="9"/>
            <color indexed="81"/>
            <rFont val="Segoe UI"/>
            <family val="2"/>
          </rPr>
          <t>Coeficiente que leva em conta as boas práticas de uso e conservação da água na propriedade rural onde se dá o uso de recursos hídricos.
Considera-se K=0,5,  considerando que a tecnologia não foi informada</t>
        </r>
      </text>
    </comment>
    <comment ref="J65" authorId="1" shapeId="0" xr:uid="{FF02A95A-754B-4E30-B54F-58DCC06207BE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D77" authorId="1" shapeId="0" xr:uid="{B5F42C22-AD19-406D-953E-957D0370F6E7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E77" authorId="2" shapeId="0" xr:uid="{63F08A65-313F-432F-BA9D-44FEA9C2AABB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F77" authorId="1" shapeId="0" xr:uid="{AC5BE1FB-8B08-46E5-BAC0-11DC11788679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G77" authorId="1" shapeId="0" xr:uid="{963324B0-7AB1-45FD-B310-59668D721144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H77" authorId="2" shapeId="0" xr:uid="{4CBF1C94-913A-477C-A8EE-C1E8C5C838B5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I77" authorId="1" shapeId="0" xr:uid="{CB987ED2-7C9A-4440-B9C1-19BEB6CB83DC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J77" authorId="2" shapeId="0" xr:uid="{8A1393F9-AE55-47CA-BF8A-1973BD1B27D9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L77" authorId="1" shapeId="0" xr:uid="{DBB61CC3-3798-4B1E-AB6E-FD02681F8DCC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Marisa Morita</author>
    <author>Autor</author>
    <author>Alexandre Macedo</author>
  </authors>
  <commentList>
    <comment ref="B3" authorId="0" shapeId="0" xr:uid="{AB5774E4-0E17-4374-97FF-0B606554E0C0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Mudar apenas essas células</t>
        </r>
      </text>
    </comment>
    <comment ref="B4" authorId="0" shapeId="0" xr:uid="{546987FE-63CE-4A53-8CE5-74943BB7B4DF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Mudar apenas essas células.</t>
        </r>
      </text>
    </comment>
    <comment ref="D27" authorId="1" shapeId="0" xr:uid="{DB2AED02-7F28-44AB-979D-3315B8748B7C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E27" authorId="1" shapeId="0" xr:uid="{7D8D00AE-DC48-45C2-8AE2-196C8B2AD8B1}">
      <text>
        <r>
          <rPr>
            <b/>
            <sz val="9"/>
            <color indexed="81"/>
            <rFont val="Segoe UI"/>
            <family val="2"/>
          </rPr>
          <t>Autor:
Kpd:</t>
        </r>
        <r>
          <rPr>
            <sz val="9"/>
            <color indexed="81"/>
            <rFont val="Segoe UI"/>
            <family val="2"/>
          </rPr>
          <t xml:space="preserve"> Valores baseados nos dados de Ipd do SNIS dos municípios de 2022. </t>
        </r>
      </text>
    </comment>
    <comment ref="F27" authorId="2" shapeId="0" xr:uid="{7EB9E9C4-F77A-41CA-B507-148620A78B31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G27" authorId="1" shapeId="0" xr:uid="{B702D843-E9A1-4C6B-AB1E-3F42D7CFEE6B}">
      <text>
        <r>
          <rPr>
            <b/>
            <sz val="9"/>
            <color indexed="81"/>
            <rFont val="Segoe UI"/>
            <family val="2"/>
          </rPr>
          <t xml:space="preserve">Autor:
Kconsumo:
</t>
        </r>
        <r>
          <rPr>
            <sz val="9"/>
            <color indexed="81"/>
            <rFont val="Segoe UI"/>
            <family val="2"/>
          </rPr>
          <t>No caso específico do setor de saneamento, quando houver responsáveis distintos pelos serviços de abastecimento de água e de esgotamento sanitário, e os dados informados não permitirem estabelecer o Valorcons, este cálculo poderá ser realizado utilizando-se a fórmula do § 3o
deste artigo, para a qual o valor do</t>
        </r>
        <r>
          <rPr>
            <b/>
            <sz val="9"/>
            <color indexed="81"/>
            <rFont val="Segoe UI"/>
            <family val="2"/>
          </rPr>
          <t xml:space="preserve"> Kconsumo será igual a 0,5 </t>
        </r>
        <r>
          <rPr>
            <sz val="9"/>
            <color indexed="81"/>
            <rFont val="Segoe UI"/>
            <family val="2"/>
          </rPr>
          <t>(cinco décimos)</t>
        </r>
      </text>
    </comment>
    <comment ref="H27" authorId="1" shapeId="0" xr:uid="{EDC76B16-1FB7-4F14-A914-4BCDC5D81386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I27" authorId="1" shapeId="0" xr:uid="{455488D9-44B6-4E7A-992E-AF6A0DA5D072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J27" authorId="2" shapeId="0" xr:uid="{5B8E0B46-20E4-44B2-AFB5-D53FF46AD827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K27" authorId="1" shapeId="0" xr:uid="{795AE28A-F8E2-4DFF-A77B-AEF3DAEF8A67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L27" authorId="2" shapeId="0" xr:uid="{EB637E56-DBC0-469D-B4AE-F31D04E767D9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N27" authorId="1" shapeId="0" xr:uid="{DCB11832-6D0C-41D7-9697-572C661F3E14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D41" authorId="1" shapeId="0" xr:uid="{9491F2D4-CCD1-4914-9AEC-B3D807179E9A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E41" authorId="2" shapeId="0" xr:uid="{8A7E6003-727C-474F-8295-B9FE34F729F7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F41" authorId="1" shapeId="0" xr:uid="{BC470941-D777-4904-801C-B91FBA6974A2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G41" authorId="1" shapeId="0" xr:uid="{D07D7654-A7DB-4922-BA94-D9A6663EF6BE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H41" authorId="2" shapeId="0" xr:uid="{0A623F4B-F4BC-41D4-BBC2-A09781FFB7B2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J41" authorId="1" shapeId="0" xr:uid="{484E29BB-8066-48FF-B9FC-DA940F423E1B}">
      <text>
        <r>
          <rPr>
            <b/>
            <sz val="9"/>
            <color indexed="81"/>
            <rFont val="Segoe UI"/>
            <family val="2"/>
          </rPr>
          <t xml:space="preserve">Autor:
Kagropec:
</t>
        </r>
        <r>
          <rPr>
            <sz val="9"/>
            <color indexed="81"/>
            <rFont val="Segoe UI"/>
            <family val="2"/>
          </rPr>
          <t>Coeficiente que leva em conta as boas práticas de uso e conservação da água na propriedade rural onde se dá o uso de recursos hídricos.
Considera-se K=0,1,  aquicultura não irrigante</t>
        </r>
      </text>
    </comment>
    <comment ref="K41" authorId="1" shapeId="0" xr:uid="{EAAE17DC-A4EF-4FAF-B1BA-1E5BD47427FD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D53" authorId="1" shapeId="0" xr:uid="{0EA989B0-F1B2-4CF1-B998-C690C2B9D4ED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E53" authorId="2" shapeId="0" xr:uid="{338F05FD-BC25-4A72-BAFA-D70C650A8813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F53" authorId="1" shapeId="0" xr:uid="{A39E62B3-9D7F-4ADC-BA5D-0FD05B606AE2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G53" authorId="1" shapeId="0" xr:uid="{EDA20BD7-1A48-4491-84BB-0A4061C4CEBA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H53" authorId="2" shapeId="0" xr:uid="{7DE93312-60C7-4B99-90C6-93D6C08A3358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I53" authorId="1" shapeId="0" xr:uid="{A62089D1-8CB3-41F9-B146-F29E85552A80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J53" authorId="2" shapeId="0" xr:uid="{8E41E266-EA5C-414A-BD64-DBB71CE1EA6A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L53" authorId="1" shapeId="0" xr:uid="{8FD44867-7DDD-43EC-9BFD-DFE06BF88AF6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D65" authorId="1" shapeId="0" xr:uid="{D5F5D9A3-7833-46E2-832F-AC50B233F07F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E65" authorId="2" shapeId="0" xr:uid="{0CCE6AEE-BEEC-490F-B350-55DACD87E88D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F65" authorId="1" shapeId="0" xr:uid="{192F047D-BFA6-46C0-8C43-A7CE4425FA3A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Coeficiente que leva em conta a parte da água utilizada na irrigação que não retorna
aos corpos d’água
Definido como: (Coef. De retorno)</t>
        </r>
      </text>
    </comment>
    <comment ref="G65" authorId="2" shapeId="0" xr:uid="{7BBABE58-432D-4A7B-9328-ECE66253A2E8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I65" authorId="1" shapeId="0" xr:uid="{D39900CC-DD35-40F9-8066-1F5F39C7948D}">
      <text>
        <r>
          <rPr>
            <b/>
            <sz val="9"/>
            <color indexed="81"/>
            <rFont val="Segoe UI"/>
            <family val="2"/>
          </rPr>
          <t xml:space="preserve">Autor:
Kagropec:
</t>
        </r>
        <r>
          <rPr>
            <sz val="9"/>
            <color indexed="81"/>
            <rFont val="Segoe UI"/>
            <family val="2"/>
          </rPr>
          <t>Coeficiente que leva em conta as boas práticas de uso e conservação da água na propriedade rural onde se dá o uso de recursos hídricos.
Considera-se K=0,5,  considerando que a tecnologia não foi informada</t>
        </r>
      </text>
    </comment>
    <comment ref="J65" authorId="1" shapeId="0" xr:uid="{EFEC140D-5D0D-42EB-B893-A9D7C7E31CBD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D77" authorId="1" shapeId="0" xr:uid="{645C0951-05C0-481F-8291-4568797789FF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E77" authorId="2" shapeId="0" xr:uid="{69EB6575-9503-456C-B561-EBD65BFCEB01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F77" authorId="1" shapeId="0" xr:uid="{A861B998-61DC-4F1B-AC10-A8B16AC9815C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G77" authorId="1" shapeId="0" xr:uid="{F52EEEEA-B3B8-443B-A04F-8E310B117E23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H77" authorId="2" shapeId="0" xr:uid="{03D4EBF0-A9F0-4A9D-8162-7BD2B10657AE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I77" authorId="1" shapeId="0" xr:uid="{96CD6846-1D42-4B25-893D-6DCFE35DD7C7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J77" authorId="2" shapeId="0" xr:uid="{225ED20D-08E0-4401-98F5-6E5D9E8D71F4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L77" authorId="1" shapeId="0" xr:uid="{74F1BAAE-3F18-4212-B3DA-837064A195C9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Marisa Morita</author>
    <author>Autor</author>
    <author>Alexandre Macedo</author>
  </authors>
  <commentList>
    <comment ref="B3" authorId="0" shapeId="0" xr:uid="{4F38FC9C-1A50-43EC-A3FF-EB95DB6BBA82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Mudar apenas essas células</t>
        </r>
      </text>
    </comment>
    <comment ref="B4" authorId="0" shapeId="0" xr:uid="{D7721485-A276-4F21-BB84-2F9C82A9FE72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Mudar apenas essas células.</t>
        </r>
      </text>
    </comment>
    <comment ref="D27" authorId="1" shapeId="0" xr:uid="{C23E5A79-06E4-4BBE-A591-6E1321700CD1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E27" authorId="1" shapeId="0" xr:uid="{674BC5A0-9AE4-4211-B23E-C900D8F3186C}">
      <text>
        <r>
          <rPr>
            <b/>
            <sz val="9"/>
            <color indexed="81"/>
            <rFont val="Segoe UI"/>
            <family val="2"/>
          </rPr>
          <t>Autor:
Kpd:</t>
        </r>
        <r>
          <rPr>
            <sz val="9"/>
            <color indexed="81"/>
            <rFont val="Segoe UI"/>
            <family val="2"/>
          </rPr>
          <t xml:space="preserve"> Valores baseados nos dados de Ipd do SNIS dos municípios de 2022. </t>
        </r>
      </text>
    </comment>
    <comment ref="F27" authorId="2" shapeId="0" xr:uid="{DE4EE1C2-0AC4-4693-A714-09E31DFE4563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G27" authorId="1" shapeId="0" xr:uid="{F4532FF1-32D1-4027-8BD1-1210E6B5F8AB}">
      <text>
        <r>
          <rPr>
            <b/>
            <sz val="9"/>
            <color indexed="81"/>
            <rFont val="Segoe UI"/>
            <family val="2"/>
          </rPr>
          <t xml:space="preserve">Autor:
Kconsumo:
</t>
        </r>
        <r>
          <rPr>
            <sz val="9"/>
            <color indexed="81"/>
            <rFont val="Segoe UI"/>
            <family val="2"/>
          </rPr>
          <t>No caso específico do setor de saneamento, quando houver responsáveis distintos pelos serviços de abastecimento de água e de esgotamento sanitário, e os dados informados não permitirem estabelecer o Valorcons, este cálculo poderá ser realizado utilizando-se a fórmula do § 3o
deste artigo, para a qual o valor do</t>
        </r>
        <r>
          <rPr>
            <b/>
            <sz val="9"/>
            <color indexed="81"/>
            <rFont val="Segoe UI"/>
            <family val="2"/>
          </rPr>
          <t xml:space="preserve"> Kconsumo será igual a 0,5 </t>
        </r>
        <r>
          <rPr>
            <sz val="9"/>
            <color indexed="81"/>
            <rFont val="Segoe UI"/>
            <family val="2"/>
          </rPr>
          <t>(cinco décimos)</t>
        </r>
      </text>
    </comment>
    <comment ref="H27" authorId="1" shapeId="0" xr:uid="{62F97519-F6B6-4473-AE72-EADF543CBC7A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I27" authorId="1" shapeId="0" xr:uid="{7CDBE9C4-51EC-4BE9-9C3F-46395FA02DED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J27" authorId="2" shapeId="0" xr:uid="{A3E3FE49-DEEF-463D-A78F-3CCC01582A81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K27" authorId="1" shapeId="0" xr:uid="{E008E128-3AA0-455F-9DFB-22B903A41EF9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L27" authorId="2" shapeId="0" xr:uid="{279645C1-5514-48EF-8655-D3C48A684724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N27" authorId="1" shapeId="0" xr:uid="{6FE10BA6-70C2-41BD-B9BD-FA34AFB6E6D2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D41" authorId="1" shapeId="0" xr:uid="{DC1FC814-1226-4835-81AE-EA241DB7C725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E41" authorId="2" shapeId="0" xr:uid="{6163DC95-7636-41CA-A0B6-73D8F0F6D609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F41" authorId="1" shapeId="0" xr:uid="{53333C0F-9AA0-4650-9F19-68F65A749DE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G41" authorId="1" shapeId="0" xr:uid="{3C3BACB0-B8CD-43C8-B6C7-46DF8ED8EBE3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H41" authorId="2" shapeId="0" xr:uid="{4ABF73C9-BDE0-4219-AE0F-718D9E871B2E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J41" authorId="1" shapeId="0" xr:uid="{1861FA1F-A519-4EA0-BA95-2272AC7AE645}">
      <text>
        <r>
          <rPr>
            <b/>
            <sz val="9"/>
            <color indexed="81"/>
            <rFont val="Segoe UI"/>
            <family val="2"/>
          </rPr>
          <t xml:space="preserve">Autor:
Kagropec:
</t>
        </r>
        <r>
          <rPr>
            <sz val="9"/>
            <color indexed="81"/>
            <rFont val="Segoe UI"/>
            <family val="2"/>
          </rPr>
          <t>Coeficiente que leva em conta as boas práticas de uso e conservação da água na propriedade rural onde se dá o uso de recursos hídricos.
Considera-se K=0,1,  aquicultura não irrigante</t>
        </r>
      </text>
    </comment>
    <comment ref="K41" authorId="1" shapeId="0" xr:uid="{589D2822-0790-4494-BEC8-9BB2346F8949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D53" authorId="1" shapeId="0" xr:uid="{64909C60-1D50-4E4B-A2C3-BFBA5C1B153A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E53" authorId="2" shapeId="0" xr:uid="{CFC32A7A-F9CD-4B3B-BAA6-42B1670AA45F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F53" authorId="1" shapeId="0" xr:uid="{547075E4-562D-4A56-A066-545B959B745F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G53" authorId="1" shapeId="0" xr:uid="{2BB9931B-EEE4-4912-8D60-DB1869C79D15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H53" authorId="2" shapeId="0" xr:uid="{012AE9DB-866A-47C8-A45F-B1A30EC9F3C4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I53" authorId="1" shapeId="0" xr:uid="{F9C90D96-637A-436B-9159-ACB23A3FA91C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J53" authorId="2" shapeId="0" xr:uid="{5D0A39B7-8214-465F-846F-BEF0B459858F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L53" authorId="1" shapeId="0" xr:uid="{A0DEE182-71D8-43C7-AF21-0F7D9A23C0C9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D65" authorId="1" shapeId="0" xr:uid="{BA7A3119-56E3-48E2-8B98-EA09EE23351F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E65" authorId="2" shapeId="0" xr:uid="{21F72390-5D55-49B0-81AC-1B4BCA8DE530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F65" authorId="1" shapeId="0" xr:uid="{EA416B7C-D558-450B-B541-29A9F8D895A3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Coeficiente que leva em conta a parte da água utilizada na irrigação que não retorna
aos corpos d’água
Definido como: (Coef. De retorno)</t>
        </r>
      </text>
    </comment>
    <comment ref="G65" authorId="2" shapeId="0" xr:uid="{D0631636-4925-4CFE-9D81-BAEF5E0A1C95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I65" authorId="1" shapeId="0" xr:uid="{A4F7DB1E-581E-4673-AFDA-046425E29E60}">
      <text>
        <r>
          <rPr>
            <b/>
            <sz val="9"/>
            <color indexed="81"/>
            <rFont val="Segoe UI"/>
            <family val="2"/>
          </rPr>
          <t xml:space="preserve">Autor:
Kagropec:
</t>
        </r>
        <r>
          <rPr>
            <sz val="9"/>
            <color indexed="81"/>
            <rFont val="Segoe UI"/>
            <family val="2"/>
          </rPr>
          <t>Coeficiente que leva em conta as boas práticas de uso e conservação da água na propriedade rural onde se dá o uso de recursos hídricos.
Considera-se K=0,5,  considerando que a tecnologia não foi informada</t>
        </r>
      </text>
    </comment>
    <comment ref="J65" authorId="1" shapeId="0" xr:uid="{5A97C647-9F35-4B5A-9623-99A81E9F469B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D77" authorId="1" shapeId="0" xr:uid="{B8EE25C5-2653-4008-B7E0-FB1D8D4E686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E77" authorId="2" shapeId="0" xr:uid="{C787C1B7-E65D-4D02-8FA0-404E5703C64C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F77" authorId="1" shapeId="0" xr:uid="{BFCB157F-2C88-466B-A1F3-6AD4BED75735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G77" authorId="1" shapeId="0" xr:uid="{106CFC21-85E1-4A69-8739-685E0F4F6972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H77" authorId="2" shapeId="0" xr:uid="{E981DBEE-A926-42BF-B0F9-EBE43EB756B8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I77" authorId="1" shapeId="0" xr:uid="{D5B8427F-16EF-43AA-8773-0DF7A188948B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J77" authorId="2" shapeId="0" xr:uid="{F27EBF1B-48FF-4B2F-A14E-DC5D513163CF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L77" authorId="1" shapeId="0" xr:uid="{17C30BBB-9354-4BFE-A6EB-7AA1FAEB0704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Marisa Morita</author>
    <author>Autor</author>
    <author>Alexandre Macedo</author>
  </authors>
  <commentList>
    <comment ref="B3" authorId="0" shapeId="0" xr:uid="{C2750C29-042C-400E-A6C3-BC3FBD67822C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Mudar apenas essas células</t>
        </r>
      </text>
    </comment>
    <comment ref="B4" authorId="0" shapeId="0" xr:uid="{D1B1A4F2-FF1D-426A-9C6F-572AD16B84B8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Mudar apenas essas células.</t>
        </r>
      </text>
    </comment>
    <comment ref="D27" authorId="1" shapeId="0" xr:uid="{8EF317B3-EC08-41A5-A3E4-4D6324A20B68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E27" authorId="1" shapeId="0" xr:uid="{20D8ACE0-0BBC-4A17-A96D-CB9D55B065AA}">
      <text>
        <r>
          <rPr>
            <b/>
            <sz val="9"/>
            <color indexed="81"/>
            <rFont val="Segoe UI"/>
            <family val="2"/>
          </rPr>
          <t>Autor:
Kpd:</t>
        </r>
        <r>
          <rPr>
            <sz val="9"/>
            <color indexed="81"/>
            <rFont val="Segoe UI"/>
            <family val="2"/>
          </rPr>
          <t xml:space="preserve"> Valores baseados nos dados de Ipd do SNIS dos municípios de 2022. </t>
        </r>
      </text>
    </comment>
    <comment ref="F27" authorId="2" shapeId="0" xr:uid="{070D58CD-B917-481D-AA13-9883B7FF9014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G27" authorId="1" shapeId="0" xr:uid="{C8ABEEEF-CCD2-4ACE-915D-EA63F73511D9}">
      <text>
        <r>
          <rPr>
            <b/>
            <sz val="9"/>
            <color indexed="81"/>
            <rFont val="Segoe UI"/>
            <family val="2"/>
          </rPr>
          <t xml:space="preserve">Autor:
Kconsumo:
</t>
        </r>
        <r>
          <rPr>
            <sz val="9"/>
            <color indexed="81"/>
            <rFont val="Segoe UI"/>
            <family val="2"/>
          </rPr>
          <t>No caso específico do setor de saneamento, quando houver responsáveis distintos pelos serviços de abastecimento de água e de esgotamento sanitário, e os dados informados não permitirem estabelecer o Valorcons, este cálculo poderá ser realizado utilizando-se a fórmula do § 3o
deste artigo, para a qual o valor do</t>
        </r>
        <r>
          <rPr>
            <b/>
            <sz val="9"/>
            <color indexed="81"/>
            <rFont val="Segoe UI"/>
            <family val="2"/>
          </rPr>
          <t xml:space="preserve"> Kconsumo será igual a 0,5 </t>
        </r>
        <r>
          <rPr>
            <sz val="9"/>
            <color indexed="81"/>
            <rFont val="Segoe UI"/>
            <family val="2"/>
          </rPr>
          <t>(cinco décimos)</t>
        </r>
      </text>
    </comment>
    <comment ref="H27" authorId="1" shapeId="0" xr:uid="{84245624-864C-42EA-A46E-3B1D023CE7D3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I27" authorId="1" shapeId="0" xr:uid="{BCA3FBF4-7D3C-462E-9994-083C3F09E8BF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J27" authorId="2" shapeId="0" xr:uid="{A81D250B-E419-448A-BE01-71534D6A3F82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K27" authorId="1" shapeId="0" xr:uid="{F129A078-22EA-4354-A7B2-EB331503A074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L27" authorId="2" shapeId="0" xr:uid="{E0FC29DC-779A-4BC7-8DC0-CF8DEC125987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N27" authorId="1" shapeId="0" xr:uid="{40CBA02D-E22E-4478-8383-F9E8DB381527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D41" authorId="1" shapeId="0" xr:uid="{707051DA-8FF1-4F95-8CB4-89AC6CCDB437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E41" authorId="2" shapeId="0" xr:uid="{9A2B3356-A3F4-4F02-9FC5-47F496639E34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F41" authorId="1" shapeId="0" xr:uid="{F707900F-E354-4554-B5F8-E091557D4156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G41" authorId="1" shapeId="0" xr:uid="{1A12938B-A532-4932-9101-DC9D99F134D7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H41" authorId="2" shapeId="0" xr:uid="{2A166E44-637A-4E2C-B364-CCAEFA2CE050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J41" authorId="1" shapeId="0" xr:uid="{293BE614-5FAC-4EC3-A878-E2AB0C9ADF1E}">
      <text>
        <r>
          <rPr>
            <b/>
            <sz val="9"/>
            <color indexed="81"/>
            <rFont val="Segoe UI"/>
            <family val="2"/>
          </rPr>
          <t xml:space="preserve">Autor:
Kagropec:
</t>
        </r>
        <r>
          <rPr>
            <sz val="9"/>
            <color indexed="81"/>
            <rFont val="Segoe UI"/>
            <family val="2"/>
          </rPr>
          <t>Coeficiente que leva em conta as boas práticas de uso e conservação da água na propriedade rural onde se dá o uso de recursos hídricos.
Considera-se K=0,1,  aquicultura não irrigante</t>
        </r>
      </text>
    </comment>
    <comment ref="K41" authorId="1" shapeId="0" xr:uid="{7E117B9C-8F62-4F54-8BF4-EEAE27594F01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D53" authorId="1" shapeId="0" xr:uid="{546DCDCA-F974-43FC-B63D-526AB60A0E39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E53" authorId="2" shapeId="0" xr:uid="{F546AEF3-1D42-4931-9202-0422E0750469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F53" authorId="1" shapeId="0" xr:uid="{348F4A8D-9A54-4575-959D-96414749E8A4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G53" authorId="1" shapeId="0" xr:uid="{57A9F6A2-5F84-4842-887F-141440BFC057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H53" authorId="2" shapeId="0" xr:uid="{6981B606-71E6-4446-8FF9-0908818A4623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I53" authorId="1" shapeId="0" xr:uid="{9F2ABF62-5C28-4B5B-820A-B87758CDD4CE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J53" authorId="2" shapeId="0" xr:uid="{5A797886-ECDF-47FB-A1C8-328BEE1AE7F6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L53" authorId="1" shapeId="0" xr:uid="{50602FB3-BFD6-4AEF-A0E4-22A7E1E95D3F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D65" authorId="1" shapeId="0" xr:uid="{54C9BBEB-ACC3-4519-BFEC-5673008F995E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E65" authorId="2" shapeId="0" xr:uid="{F5E91279-ACD7-4874-AC29-63A15D59A497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F65" authorId="1" shapeId="0" xr:uid="{CD6FE017-DA9C-450B-B8C2-D57F0DB6DC77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Coeficiente que leva em conta a parte da água utilizada na irrigação que não retorna
aos corpos d’água
Definido como: (Coef. De retorno)</t>
        </r>
      </text>
    </comment>
    <comment ref="G65" authorId="2" shapeId="0" xr:uid="{EA5F8341-542F-4557-918C-733CBD877C9E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I65" authorId="1" shapeId="0" xr:uid="{2CCDA59E-D4D5-4772-B5E9-0ED8E5078F39}">
      <text>
        <r>
          <rPr>
            <b/>
            <sz val="9"/>
            <color indexed="81"/>
            <rFont val="Segoe UI"/>
            <family val="2"/>
          </rPr>
          <t xml:space="preserve">Autor:
Kagropec:
</t>
        </r>
        <r>
          <rPr>
            <sz val="9"/>
            <color indexed="81"/>
            <rFont val="Segoe UI"/>
            <family val="2"/>
          </rPr>
          <t>Coeficiente que leva em conta as boas práticas de uso e conservação da água na propriedade rural onde se dá o uso de recursos hídricos.
Considera-se K=0,5,  considerando que a tecnologia não foi informada</t>
        </r>
      </text>
    </comment>
    <comment ref="J65" authorId="1" shapeId="0" xr:uid="{EEF3F097-B5DE-4E45-B11E-55C2706EF498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D77" authorId="1" shapeId="0" xr:uid="{E08A3726-FB6E-49CB-91FA-7A8E59B4888A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E77" authorId="2" shapeId="0" xr:uid="{0FEE2449-97D0-4EE9-8721-B568D6596521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F77" authorId="1" shapeId="0" xr:uid="{28B182BF-2E0C-4312-807C-27FE43F3488F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G77" authorId="1" shapeId="0" xr:uid="{C605C314-E6B8-4A4E-9896-FDAF9C8956EE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H77" authorId="2" shapeId="0" xr:uid="{2EA987D5-F629-46BE-BB4F-D7F2CB9F753E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I77" authorId="1" shapeId="0" xr:uid="{596312E8-1700-41AB-8287-FA3B5E3FAA18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J77" authorId="2" shapeId="0" xr:uid="{05E9442F-D7CA-4862-AF76-9A49123A51B4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L77" authorId="1" shapeId="0" xr:uid="{02EC9CBA-B923-47D8-9690-0C7380C18E66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Marisa Morita</author>
    <author>Autor</author>
    <author>Alexandre Macedo</author>
  </authors>
  <commentList>
    <comment ref="B3" authorId="0" shapeId="0" xr:uid="{99D5FF89-05CE-4E88-B034-1158D7E2E0E0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Mudar apenas essas células</t>
        </r>
      </text>
    </comment>
    <comment ref="B4" authorId="0" shapeId="0" xr:uid="{B9064871-A2A3-4B6A-B24C-8F4BD79D5AE6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Mudar apenas essas células.</t>
        </r>
      </text>
    </comment>
    <comment ref="D27" authorId="1" shapeId="0" xr:uid="{6C3F8B41-BB08-4196-9D3A-90BD6A0E6C38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E27" authorId="1" shapeId="0" xr:uid="{6C6BBCC3-B85A-48AC-AC88-83E91FE5C432}">
      <text>
        <r>
          <rPr>
            <b/>
            <sz val="9"/>
            <color indexed="81"/>
            <rFont val="Segoe UI"/>
            <family val="2"/>
          </rPr>
          <t>Autor:
Kpd:</t>
        </r>
        <r>
          <rPr>
            <sz val="9"/>
            <color indexed="81"/>
            <rFont val="Segoe UI"/>
            <family val="2"/>
          </rPr>
          <t xml:space="preserve"> Valores baseados nos dados de Ipd do SNIS dos municípios de 2022. </t>
        </r>
      </text>
    </comment>
    <comment ref="F27" authorId="2" shapeId="0" xr:uid="{41A0CAAE-2A0B-414C-A76C-1C9F63C27CEA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G27" authorId="1" shapeId="0" xr:uid="{27863B77-0D15-47FF-8858-565BFFC53227}">
      <text>
        <r>
          <rPr>
            <b/>
            <sz val="9"/>
            <color indexed="81"/>
            <rFont val="Segoe UI"/>
            <family val="2"/>
          </rPr>
          <t xml:space="preserve">Autor:
Kconsumo:
</t>
        </r>
        <r>
          <rPr>
            <sz val="9"/>
            <color indexed="81"/>
            <rFont val="Segoe UI"/>
            <family val="2"/>
          </rPr>
          <t>No caso específico do setor de saneamento, quando houver responsáveis distintos pelos serviços de abastecimento de água e de esgotamento sanitário, e os dados informados não permitirem estabelecer o Valorcons, este cálculo poderá ser realizado utilizando-se a fórmula do § 3o
deste artigo, para a qual o valor do</t>
        </r>
        <r>
          <rPr>
            <b/>
            <sz val="9"/>
            <color indexed="81"/>
            <rFont val="Segoe UI"/>
            <family val="2"/>
          </rPr>
          <t xml:space="preserve"> Kconsumo será igual a 0,5 </t>
        </r>
        <r>
          <rPr>
            <sz val="9"/>
            <color indexed="81"/>
            <rFont val="Segoe UI"/>
            <family val="2"/>
          </rPr>
          <t>(cinco décimos)</t>
        </r>
      </text>
    </comment>
    <comment ref="H27" authorId="1" shapeId="0" xr:uid="{F2C92E8C-5EBD-4442-8E30-B38D620E31CD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I27" authorId="1" shapeId="0" xr:uid="{AF651590-F084-4B02-A646-B70B6B524AD5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J27" authorId="2" shapeId="0" xr:uid="{E3EF96FC-DC92-4573-96E0-6E7674F3CA53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K27" authorId="1" shapeId="0" xr:uid="{06F6CD04-9286-47BB-8305-2253F14A668C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L27" authorId="2" shapeId="0" xr:uid="{F551F38A-4AAF-4410-B212-959A53258D3D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N27" authorId="1" shapeId="0" xr:uid="{4F781285-318B-468C-8D00-CFF2C64AFCCB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D41" authorId="1" shapeId="0" xr:uid="{AC7C9AE4-C86D-4AF2-BD44-91713560FC79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E41" authorId="2" shapeId="0" xr:uid="{7082A10A-3695-4DD7-80B1-2CF6A4E0E99B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F41" authorId="1" shapeId="0" xr:uid="{5D985544-F45C-4CD0-B172-BEAB565748FF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G41" authorId="1" shapeId="0" xr:uid="{53670D56-2997-488C-B3AC-04F7BC7C80D7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H41" authorId="2" shapeId="0" xr:uid="{03A426F0-6088-4BA3-885D-706609C0A723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J41" authorId="1" shapeId="0" xr:uid="{2D6B6FBF-4B93-484F-955D-04C07C876F0D}">
      <text>
        <r>
          <rPr>
            <b/>
            <sz val="9"/>
            <color indexed="81"/>
            <rFont val="Segoe UI"/>
            <family val="2"/>
          </rPr>
          <t xml:space="preserve">Autor:
Kagropec:
</t>
        </r>
        <r>
          <rPr>
            <sz val="9"/>
            <color indexed="81"/>
            <rFont val="Segoe UI"/>
            <family val="2"/>
          </rPr>
          <t>Coeficiente que leva em conta as boas práticas de uso e conservação da água na propriedade rural onde se dá o uso de recursos hídricos.
Considera-se K=0,1,  aquicultura não irrigante</t>
        </r>
      </text>
    </comment>
    <comment ref="K41" authorId="1" shapeId="0" xr:uid="{77CE4BD3-1859-49C0-9B49-7EAD0546B6BC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D53" authorId="1" shapeId="0" xr:uid="{D39950E8-FCA8-49D8-9FFC-26005982EFD6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E53" authorId="2" shapeId="0" xr:uid="{E64A19D6-B703-4240-B733-59E3ACC28AD7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F53" authorId="1" shapeId="0" xr:uid="{372DB249-964E-4C30-B867-8E7435EDFC9E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G53" authorId="1" shapeId="0" xr:uid="{2DA04459-E807-4748-B951-49BF04D42CA1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H53" authorId="2" shapeId="0" xr:uid="{287CA774-CCE1-414B-9217-4DC3F454FBE0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I53" authorId="1" shapeId="0" xr:uid="{D046BB2F-F469-4E9C-A0F9-3326D7B6C7F4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J53" authorId="2" shapeId="0" xr:uid="{CAB159E4-E103-428B-9D95-A4B01ABF30E4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L53" authorId="1" shapeId="0" xr:uid="{D5893253-A36D-479D-AA98-519AF6759A23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D65" authorId="1" shapeId="0" xr:uid="{D09FEC25-B383-4225-8391-B78F0D6C5F39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E65" authorId="2" shapeId="0" xr:uid="{11343352-439D-4D78-8635-525692FB1AFE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F65" authorId="1" shapeId="0" xr:uid="{BB8F3337-8213-4605-B706-AB02029A9E21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Coeficiente que leva em conta a parte da água utilizada na irrigação que não retorna
aos corpos d’água
Definido como: (Coef. De retorno)</t>
        </r>
      </text>
    </comment>
    <comment ref="G65" authorId="2" shapeId="0" xr:uid="{DB7D13DB-FFB2-445E-AC04-CDCFC9A5308D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I65" authorId="1" shapeId="0" xr:uid="{2A9E1C79-2A2E-4241-B3F9-F46F58DB66B7}">
      <text>
        <r>
          <rPr>
            <b/>
            <sz val="9"/>
            <color indexed="81"/>
            <rFont val="Segoe UI"/>
            <family val="2"/>
          </rPr>
          <t xml:space="preserve">Autor:
Kagropec:
</t>
        </r>
        <r>
          <rPr>
            <sz val="9"/>
            <color indexed="81"/>
            <rFont val="Segoe UI"/>
            <family val="2"/>
          </rPr>
          <t>Coeficiente que leva em conta as boas práticas de uso e conservação da água na propriedade rural onde se dá o uso de recursos hídricos.
Considera-se K=0,5,  considerando que a tecnologia não foi informada</t>
        </r>
      </text>
    </comment>
    <comment ref="J65" authorId="1" shapeId="0" xr:uid="{433B9424-3B6E-4C1D-86BB-E102CDEF429E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D77" authorId="1" shapeId="0" xr:uid="{350C96DB-717F-4719-84B6-2C62C6049F2A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E77" authorId="2" shapeId="0" xr:uid="{8E50778B-5E08-4E91-9561-131193E00F87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F77" authorId="1" shapeId="0" xr:uid="{3DF099FD-E9A0-4FD4-88A7-90E0232CD7A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G77" authorId="1" shapeId="0" xr:uid="{A0C7BCC9-7BAC-4D46-B1E5-958796E42E1B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H77" authorId="2" shapeId="0" xr:uid="{8932C02A-C318-4E50-B26D-68F1FCA6D3AE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I77" authorId="1" shapeId="0" xr:uid="{E9F41B58-C4E7-4F30-9B7A-6A886FF467A5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J77" authorId="2" shapeId="0" xr:uid="{25DF2242-995F-450C-9763-F547BAE02BA3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L77" authorId="1" shapeId="0" xr:uid="{B7A7A883-DDE0-4326-AA84-E52F606257D6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Marisa Morita</author>
    <author>Autor</author>
    <author>Alexandre Macedo</author>
  </authors>
  <commentList>
    <comment ref="B3" authorId="0" shapeId="0" xr:uid="{79440424-70B4-4C93-BF39-70223AE604A2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Mudar apenas essas células</t>
        </r>
      </text>
    </comment>
    <comment ref="B4" authorId="0" shapeId="0" xr:uid="{AA4FF322-601B-4908-82D7-309A33900689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Mudar apenas essas células.</t>
        </r>
      </text>
    </comment>
    <comment ref="D27" authorId="1" shapeId="0" xr:uid="{CD616C1F-96C7-49B9-A33E-0476F9D9407B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E27" authorId="1" shapeId="0" xr:uid="{6F1B974D-77F4-4CB5-95F8-F74DB4A141BA}">
      <text>
        <r>
          <rPr>
            <b/>
            <sz val="9"/>
            <color indexed="81"/>
            <rFont val="Segoe UI"/>
            <family val="2"/>
          </rPr>
          <t>Autor:
Kpd:</t>
        </r>
        <r>
          <rPr>
            <sz val="9"/>
            <color indexed="81"/>
            <rFont val="Segoe UI"/>
            <family val="2"/>
          </rPr>
          <t xml:space="preserve"> Valores baseados nos dados de Ipd do SNIS dos municípios de 2022. </t>
        </r>
      </text>
    </comment>
    <comment ref="F27" authorId="2" shapeId="0" xr:uid="{343808C9-A1B5-449F-A2D9-D2F9A8812E9E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G27" authorId="1" shapeId="0" xr:uid="{87E3659E-E23E-40EF-B60A-103AAC1B34AC}">
      <text>
        <r>
          <rPr>
            <b/>
            <sz val="9"/>
            <color indexed="81"/>
            <rFont val="Segoe UI"/>
            <family val="2"/>
          </rPr>
          <t xml:space="preserve">Autor:
Kconsumo:
</t>
        </r>
        <r>
          <rPr>
            <sz val="9"/>
            <color indexed="81"/>
            <rFont val="Segoe UI"/>
            <family val="2"/>
          </rPr>
          <t>No caso específico do setor de saneamento, quando houver responsáveis distintos pelos serviços de abastecimento de água e de esgotamento sanitário, e os dados informados não permitirem estabelecer o Valorcons, este cálculo poderá ser realizado utilizando-se a fórmula do § 3o
deste artigo, para a qual o valor do</t>
        </r>
        <r>
          <rPr>
            <b/>
            <sz val="9"/>
            <color indexed="81"/>
            <rFont val="Segoe UI"/>
            <family val="2"/>
          </rPr>
          <t xml:space="preserve"> Kconsumo será igual a 0,5 </t>
        </r>
        <r>
          <rPr>
            <sz val="9"/>
            <color indexed="81"/>
            <rFont val="Segoe UI"/>
            <family val="2"/>
          </rPr>
          <t>(cinco décimos)</t>
        </r>
      </text>
    </comment>
    <comment ref="H27" authorId="1" shapeId="0" xr:uid="{1350C4F4-2E11-4B5F-B51A-2E721D1E85FA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I27" authorId="1" shapeId="0" xr:uid="{A4A6B080-B22C-474F-BAD8-496CD1395959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J27" authorId="2" shapeId="0" xr:uid="{30004198-A79E-4234-9423-F69F9F427672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K27" authorId="1" shapeId="0" xr:uid="{C6C59CBE-746D-4D5C-8C44-501294FE3423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L27" authorId="2" shapeId="0" xr:uid="{8A37074D-965C-4324-B76A-FA555F0CE4D1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N27" authorId="1" shapeId="0" xr:uid="{17E037C8-9383-49A4-AA26-5825EC25480C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D41" authorId="1" shapeId="0" xr:uid="{09F639AB-FF93-45AC-A7CB-2A34ABAC28D5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E41" authorId="2" shapeId="0" xr:uid="{99AF4E3B-0416-4067-B8D5-5DB4669A6DD5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F41" authorId="1" shapeId="0" xr:uid="{11C0639D-AC6E-45DF-AECA-549ADD2FA5BD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G41" authorId="1" shapeId="0" xr:uid="{FB0C83D8-F560-4054-A1B8-74C43C3638D5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H41" authorId="2" shapeId="0" xr:uid="{7777E25B-0A67-4D31-8B0C-47E3CF849BA8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J41" authorId="1" shapeId="0" xr:uid="{93B9F4A9-A8A6-4C22-B321-05C504863BC0}">
      <text>
        <r>
          <rPr>
            <b/>
            <sz val="9"/>
            <color indexed="81"/>
            <rFont val="Segoe UI"/>
            <family val="2"/>
          </rPr>
          <t xml:space="preserve">Autor:
Kagropec:
</t>
        </r>
        <r>
          <rPr>
            <sz val="9"/>
            <color indexed="81"/>
            <rFont val="Segoe UI"/>
            <family val="2"/>
          </rPr>
          <t>Coeficiente que leva em conta as boas práticas de uso e conservação da água na propriedade rural onde se dá o uso de recursos hídricos.
Considera-se K=0,1,  aquicultura não irrigante</t>
        </r>
      </text>
    </comment>
    <comment ref="K41" authorId="1" shapeId="0" xr:uid="{F0050F14-6216-46B4-B0E7-AA9D55E4C935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D53" authorId="1" shapeId="0" xr:uid="{6D20AE18-33B8-4990-86AD-BF155040AE34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E53" authorId="2" shapeId="0" xr:uid="{9A4DA463-201E-455E-A1F6-77FB3165209B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F53" authorId="1" shapeId="0" xr:uid="{8B32ABAC-0BDE-449E-8081-2442F073F307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G53" authorId="1" shapeId="0" xr:uid="{FF4F0A75-42DA-4FC7-8CBA-F71EA44610BB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H53" authorId="2" shapeId="0" xr:uid="{6DFBC041-194A-4ED5-B219-122207A501F8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I53" authorId="1" shapeId="0" xr:uid="{C93FB84B-AF15-4EEA-860D-13D913A09339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J53" authorId="2" shapeId="0" xr:uid="{B7B979B0-FC62-464E-8499-F14CF25931C9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L53" authorId="1" shapeId="0" xr:uid="{E3AEF8CB-E876-4091-9488-52187E3C75BA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D65" authorId="1" shapeId="0" xr:uid="{83CBA174-5E18-46C5-AB3A-CE850A3E4D3B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E65" authorId="2" shapeId="0" xr:uid="{FE71E0F7-56BE-48C7-9290-52179439D792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F65" authorId="1" shapeId="0" xr:uid="{D853F642-1547-4646-A8E9-26D77F1281D7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Coeficiente que leva em conta a parte da água utilizada na irrigação que não retorna
aos corpos d’água
Definido como: (Coef. De retorno)</t>
        </r>
      </text>
    </comment>
    <comment ref="G65" authorId="2" shapeId="0" xr:uid="{F5881C94-874A-4348-BA1C-02C778AD4E8A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I65" authorId="1" shapeId="0" xr:uid="{01016AE7-3823-4B2F-B3C6-00447E3B03BC}">
      <text>
        <r>
          <rPr>
            <b/>
            <sz val="9"/>
            <color indexed="81"/>
            <rFont val="Segoe UI"/>
            <family val="2"/>
          </rPr>
          <t xml:space="preserve">Autor:
Kagropec:
</t>
        </r>
        <r>
          <rPr>
            <sz val="9"/>
            <color indexed="81"/>
            <rFont val="Segoe UI"/>
            <family val="2"/>
          </rPr>
          <t>Coeficiente que leva em conta as boas práticas de uso e conservação da água na propriedade rural onde se dá o uso de recursos hídricos.
Considera-se K=0,5,  considerando que a tecnologia não foi informada</t>
        </r>
      </text>
    </comment>
    <comment ref="J65" authorId="1" shapeId="0" xr:uid="{9CE51CEB-5D2D-44DE-B6A1-0F52F2AF869A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D77" authorId="1" shapeId="0" xr:uid="{855FE12D-5E61-4158-BD51-1EE9F9C05E3B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E77" authorId="2" shapeId="0" xr:uid="{71A1DD30-A91B-4429-B284-5128A63BB7BD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F77" authorId="1" shapeId="0" xr:uid="{49C56EDD-1D67-424C-B991-1281776101E2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G77" authorId="1" shapeId="0" xr:uid="{1C20F67C-B746-4E46-83F3-E9282ADC0EC6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H77" authorId="2" shapeId="0" xr:uid="{D07C3859-05D0-4FD1-B931-98BA9A186A45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I77" authorId="1" shapeId="0" xr:uid="{523E1456-B4C3-4326-A961-5C2F7C64C0B7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J77" authorId="2" shapeId="0" xr:uid="{AA142A11-7C51-40B6-9704-69527D908A33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L77" authorId="1" shapeId="0" xr:uid="{A5CA6718-9AD3-4694-AC8A-838245D44179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Marisa Morita</author>
    <author>Autor</author>
    <author>Alexandre Macedo</author>
  </authors>
  <commentList>
    <comment ref="B3" authorId="0" shapeId="0" xr:uid="{49307F2F-E561-457B-B39E-0AF06EFE3CFC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Mudar apenas essas células</t>
        </r>
      </text>
    </comment>
    <comment ref="B4" authorId="0" shapeId="0" xr:uid="{846079C0-1E1B-427F-8D39-C47B2742E6F8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Mudar apenas essas células.</t>
        </r>
      </text>
    </comment>
    <comment ref="D27" authorId="1" shapeId="0" xr:uid="{42AD8F9B-845C-464B-8B4C-1A07CA15B445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E27" authorId="1" shapeId="0" xr:uid="{BCAF3BEC-0221-46C2-9377-F0E43E83279D}">
      <text>
        <r>
          <rPr>
            <b/>
            <sz val="9"/>
            <color indexed="81"/>
            <rFont val="Segoe UI"/>
            <family val="2"/>
          </rPr>
          <t>Autor:
Kpd:</t>
        </r>
        <r>
          <rPr>
            <sz val="9"/>
            <color indexed="81"/>
            <rFont val="Segoe UI"/>
            <family val="2"/>
          </rPr>
          <t xml:space="preserve"> Valores baseados nos dados de Ipd do SNIS dos municípios de 2022. </t>
        </r>
      </text>
    </comment>
    <comment ref="F27" authorId="2" shapeId="0" xr:uid="{2615BFEF-AD03-45C3-A449-DE36CFF25D1F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G27" authorId="1" shapeId="0" xr:uid="{0E81F4CD-3345-43A4-AA48-C3CCA225501F}">
      <text>
        <r>
          <rPr>
            <b/>
            <sz val="9"/>
            <color indexed="81"/>
            <rFont val="Segoe UI"/>
            <family val="2"/>
          </rPr>
          <t xml:space="preserve">Autor:
Kconsumo:
</t>
        </r>
        <r>
          <rPr>
            <sz val="9"/>
            <color indexed="81"/>
            <rFont val="Segoe UI"/>
            <family val="2"/>
          </rPr>
          <t>No caso específico do setor de saneamento, quando houver responsáveis distintos pelos serviços de abastecimento de água e de esgotamento sanitário, e os dados informados não permitirem estabelecer o Valorcons, este cálculo poderá ser realizado utilizando-se a fórmula do § 3o
deste artigo, para a qual o valor do</t>
        </r>
        <r>
          <rPr>
            <b/>
            <sz val="9"/>
            <color indexed="81"/>
            <rFont val="Segoe UI"/>
            <family val="2"/>
          </rPr>
          <t xml:space="preserve"> Kconsumo será igual a 0,5 </t>
        </r>
        <r>
          <rPr>
            <sz val="9"/>
            <color indexed="81"/>
            <rFont val="Segoe UI"/>
            <family val="2"/>
          </rPr>
          <t>(cinco décimos)</t>
        </r>
      </text>
    </comment>
    <comment ref="H27" authorId="1" shapeId="0" xr:uid="{E9D394E3-2790-4EFC-87E6-2E5DA0124B5E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I27" authorId="1" shapeId="0" xr:uid="{AAFEA8EF-36F9-41BE-AAEF-D03F26A63A69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J27" authorId="2" shapeId="0" xr:uid="{8DEF5AC3-5B87-46F7-9B5A-07FC0677DADD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K27" authorId="1" shapeId="0" xr:uid="{7A3B0200-A40A-461B-9881-6E141695228F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L27" authorId="2" shapeId="0" xr:uid="{5A7F0BB1-D280-41A7-B429-C8771EC0CF53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N27" authorId="1" shapeId="0" xr:uid="{21D63736-239E-4615-8A12-C763055BA324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D41" authorId="1" shapeId="0" xr:uid="{62397D34-9C9C-47C0-9ED1-805F71415424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E41" authorId="2" shapeId="0" xr:uid="{326A4B7D-DE12-41FC-9538-D1970B8250F6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F41" authorId="1" shapeId="0" xr:uid="{9039B36F-917B-4774-A2FB-5160F6D84E1B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G41" authorId="1" shapeId="0" xr:uid="{8025809E-9ECA-478E-B5B5-8873C54E7826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H41" authorId="2" shapeId="0" xr:uid="{FF3C3838-BAB3-495F-8218-BB41AE70CDB9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J41" authorId="1" shapeId="0" xr:uid="{6F337E0E-9DE6-4218-8AB1-DD9E1BCF1175}">
      <text>
        <r>
          <rPr>
            <b/>
            <sz val="9"/>
            <color indexed="81"/>
            <rFont val="Segoe UI"/>
            <family val="2"/>
          </rPr>
          <t xml:space="preserve">Autor:
Kagropec:
</t>
        </r>
        <r>
          <rPr>
            <sz val="9"/>
            <color indexed="81"/>
            <rFont val="Segoe UI"/>
            <family val="2"/>
          </rPr>
          <t>Coeficiente que leva em conta as boas práticas de uso e conservação da água na propriedade rural onde se dá o uso de recursos hídricos.
Considera-se K=0,1,  aquicultura não irrigante</t>
        </r>
      </text>
    </comment>
    <comment ref="K41" authorId="1" shapeId="0" xr:uid="{31596E7A-1EE8-4AC6-9217-4605FE78BF77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D53" authorId="1" shapeId="0" xr:uid="{241AC57F-060F-4C86-A54B-0A5997CDCE87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E53" authorId="2" shapeId="0" xr:uid="{A90A0D03-75BC-42D3-AA49-7DE17216E42F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F53" authorId="1" shapeId="0" xr:uid="{CEBFC037-5CAF-481A-98C4-ACD864C89E32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G53" authorId="1" shapeId="0" xr:uid="{5DA1491D-3704-4D11-9B7C-149AE21181A3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H53" authorId="2" shapeId="0" xr:uid="{028E5C2A-19E7-4517-BC6F-2F76850D3506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I53" authorId="1" shapeId="0" xr:uid="{8F1AA8B8-23D1-4696-8DD6-AB8D4C398401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J53" authorId="2" shapeId="0" xr:uid="{3D2B6780-E58D-4352-A02C-096382967383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L53" authorId="1" shapeId="0" xr:uid="{2A030128-15A5-46D3-9CB5-2F830F5B7C75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D65" authorId="1" shapeId="0" xr:uid="{60CD4AD4-3354-4DB5-A022-67B35635F0A3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E65" authorId="2" shapeId="0" xr:uid="{96CBFB97-A830-4EBA-BEBE-200616543839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F65" authorId="1" shapeId="0" xr:uid="{787481AA-9501-40E6-B9C6-257A13E28952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Coeficiente que leva em conta a parte da água utilizada na irrigação que não retorna
aos corpos d’água
Definido como: (Coef. De retorno)</t>
        </r>
      </text>
    </comment>
    <comment ref="G65" authorId="2" shapeId="0" xr:uid="{438EFA38-105A-432D-9593-44F912ECA99B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I65" authorId="1" shapeId="0" xr:uid="{C907CCA5-AF2D-4AE6-A018-72A9186BF38D}">
      <text>
        <r>
          <rPr>
            <b/>
            <sz val="9"/>
            <color indexed="81"/>
            <rFont val="Segoe UI"/>
            <family val="2"/>
          </rPr>
          <t xml:space="preserve">Autor:
Kagropec:
</t>
        </r>
        <r>
          <rPr>
            <sz val="9"/>
            <color indexed="81"/>
            <rFont val="Segoe UI"/>
            <family val="2"/>
          </rPr>
          <t>Coeficiente que leva em conta as boas práticas de uso e conservação da água na propriedade rural onde se dá o uso de recursos hídricos.
Considera-se K=0,5,  considerando que a tecnologia não foi informada</t>
        </r>
      </text>
    </comment>
    <comment ref="J65" authorId="1" shapeId="0" xr:uid="{03A9CD39-6809-4AB7-B5FB-CA6CD8762DCF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D77" authorId="1" shapeId="0" xr:uid="{4E7059C9-78A1-4C1F-AED5-8C3EF167921E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E77" authorId="2" shapeId="0" xr:uid="{F84543BA-B587-4E0B-9546-6BB598CA88B9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F77" authorId="1" shapeId="0" xr:uid="{CF8912F0-EB88-439C-93CF-97F3A5E31383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G77" authorId="1" shapeId="0" xr:uid="{DACC6A96-2783-4159-AD80-A2E5BD18E882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H77" authorId="2" shapeId="0" xr:uid="{EF190ED3-DDFB-468B-8293-05890AE3001F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I77" authorId="1" shapeId="0" xr:uid="{70BC38E0-D629-446C-AB04-1BC98EE50F1D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J77" authorId="2" shapeId="0" xr:uid="{4593F010-4815-4054-9FAE-21CB9745A2F3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L77" authorId="1" shapeId="0" xr:uid="{2FC0ABED-432C-424A-BC9F-9537BDB7525B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Marisa Morita</author>
    <author>Autor</author>
    <author>Alexandre Macedo</author>
  </authors>
  <commentList>
    <comment ref="B3" authorId="0" shapeId="0" xr:uid="{EC285E57-A867-4673-ABC2-2CDC09AA79AA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Mudar apenas essas células</t>
        </r>
      </text>
    </comment>
    <comment ref="B4" authorId="0" shapeId="0" xr:uid="{6C18522F-18A4-4F30-B95D-DE0FF5DBC17C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Mudar apenas essas células.</t>
        </r>
      </text>
    </comment>
    <comment ref="D27" authorId="1" shapeId="0" xr:uid="{9049138D-DA54-4776-ACAB-3B74CC10F124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E27" authorId="1" shapeId="0" xr:uid="{AD524DC8-A5B3-4BF0-A4E1-7E36E6D74BEF}">
      <text>
        <r>
          <rPr>
            <b/>
            <sz val="9"/>
            <color indexed="81"/>
            <rFont val="Segoe UI"/>
            <family val="2"/>
          </rPr>
          <t>Autor:
Kpd:</t>
        </r>
        <r>
          <rPr>
            <sz val="9"/>
            <color indexed="81"/>
            <rFont val="Segoe UI"/>
            <family val="2"/>
          </rPr>
          <t xml:space="preserve"> Valores baseados nos dados de Ipd do SNIS dos municípios de 2022. </t>
        </r>
      </text>
    </comment>
    <comment ref="F27" authorId="2" shapeId="0" xr:uid="{DDE53117-AF24-4A0D-8E7E-DDBC1A3F877D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G27" authorId="1" shapeId="0" xr:uid="{4161C1FA-E0D3-4DB1-B465-8BAE842E625C}">
      <text>
        <r>
          <rPr>
            <b/>
            <sz val="9"/>
            <color indexed="81"/>
            <rFont val="Segoe UI"/>
            <family val="2"/>
          </rPr>
          <t xml:space="preserve">Autor:
Kconsumo:
</t>
        </r>
        <r>
          <rPr>
            <sz val="9"/>
            <color indexed="81"/>
            <rFont val="Segoe UI"/>
            <family val="2"/>
          </rPr>
          <t>No caso específico do setor de saneamento, quando houver responsáveis distintos pelos serviços de abastecimento de água e de esgotamento sanitário, e os dados informados não permitirem estabelecer o Valorcons, este cálculo poderá ser realizado utilizando-se a fórmula do § 3o
deste artigo, para a qual o valor do</t>
        </r>
        <r>
          <rPr>
            <b/>
            <sz val="9"/>
            <color indexed="81"/>
            <rFont val="Segoe UI"/>
            <family val="2"/>
          </rPr>
          <t xml:space="preserve"> Kconsumo será igual a 0,5 </t>
        </r>
        <r>
          <rPr>
            <sz val="9"/>
            <color indexed="81"/>
            <rFont val="Segoe UI"/>
            <family val="2"/>
          </rPr>
          <t>(cinco décimos)</t>
        </r>
      </text>
    </comment>
    <comment ref="H27" authorId="1" shapeId="0" xr:uid="{138ECFE2-BDE6-4B52-A3D5-50F55ECF1458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I27" authorId="1" shapeId="0" xr:uid="{B01A278C-DAA3-4248-B2AE-13C68EF926B4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J27" authorId="2" shapeId="0" xr:uid="{477C5229-AD6A-4CFD-A4ED-703B5F132DB9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K27" authorId="1" shapeId="0" xr:uid="{0A9A5FC4-3765-4A2D-A5E4-C87C20674702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L27" authorId="2" shapeId="0" xr:uid="{BA534FEA-66A4-4A26-B0D0-A9594C9113F8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N27" authorId="1" shapeId="0" xr:uid="{713C71AA-BD14-4C12-BEE7-2DD4D700DDEA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D41" authorId="1" shapeId="0" xr:uid="{609F710E-B03E-4EDC-B85C-A4A64176C3B2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E41" authorId="2" shapeId="0" xr:uid="{608E4971-7AB1-4DD6-A624-32DC1BEC8ABC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F41" authorId="1" shapeId="0" xr:uid="{2430EA42-C565-4760-9998-327BFAFA1D98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G41" authorId="1" shapeId="0" xr:uid="{7A8FAC6D-FD66-454F-8D99-019DFCC919C2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H41" authorId="2" shapeId="0" xr:uid="{E8D9991F-95CA-4BA8-A1E7-F63DD157DB06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J41" authorId="1" shapeId="0" xr:uid="{69152055-513E-423F-8A9D-108798FB3F90}">
      <text>
        <r>
          <rPr>
            <b/>
            <sz val="9"/>
            <color indexed="81"/>
            <rFont val="Segoe UI"/>
            <family val="2"/>
          </rPr>
          <t xml:space="preserve">Autor:
Kagropec:
</t>
        </r>
        <r>
          <rPr>
            <sz val="9"/>
            <color indexed="81"/>
            <rFont val="Segoe UI"/>
            <family val="2"/>
          </rPr>
          <t>Coeficiente que leva em conta as boas práticas de uso e conservação da água na propriedade rural onde se dá o uso de recursos hídricos.
Considera-se K=0,1,  aquicultura não irrigante</t>
        </r>
      </text>
    </comment>
    <comment ref="K41" authorId="1" shapeId="0" xr:uid="{8FFC8A75-A1BD-45EC-84F4-D53B868E6C8B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D53" authorId="1" shapeId="0" xr:uid="{E65C18C7-FC41-435A-8D38-2709D4574C7E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E53" authorId="2" shapeId="0" xr:uid="{8EFC47FD-52C2-4B34-96FA-37041E57209E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F53" authorId="1" shapeId="0" xr:uid="{DA94C353-79CF-44BB-B231-9A17E7CC4968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G53" authorId="1" shapeId="0" xr:uid="{2B1BE555-89D2-451A-B0F3-AF8EC3048C1A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H53" authorId="2" shapeId="0" xr:uid="{7550F63D-1F0E-414F-AFA5-8109B719F505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I53" authorId="1" shapeId="0" xr:uid="{E7C51237-0F27-4AF4-AC1E-681A8BB023C8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J53" authorId="2" shapeId="0" xr:uid="{EA36B31A-FA37-4E71-9347-2DAF8F98B285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L53" authorId="1" shapeId="0" xr:uid="{5D06EFBD-668C-49F2-A5D8-12BA8AFCA688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D65" authorId="1" shapeId="0" xr:uid="{DA75B9F1-0FCE-461A-96C5-AEB96E9EEDD8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E65" authorId="2" shapeId="0" xr:uid="{A36B0D45-2164-4363-B162-CDC5D963792A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F65" authorId="1" shapeId="0" xr:uid="{CCFA2120-0F28-4452-9201-D390A4B6C6FC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Coeficiente que leva em conta a parte da água utilizada na irrigação que não retorna
aos corpos d’água
Definido como: (Coef. De retorno)</t>
        </r>
      </text>
    </comment>
    <comment ref="G65" authorId="2" shapeId="0" xr:uid="{D4F90061-F098-479B-BE46-AA5608894835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I65" authorId="1" shapeId="0" xr:uid="{5923439B-9902-4531-A1CC-DE0EF3D32194}">
      <text>
        <r>
          <rPr>
            <b/>
            <sz val="9"/>
            <color indexed="81"/>
            <rFont val="Segoe UI"/>
            <family val="2"/>
          </rPr>
          <t xml:space="preserve">Autor:
Kagropec:
</t>
        </r>
        <r>
          <rPr>
            <sz val="9"/>
            <color indexed="81"/>
            <rFont val="Segoe UI"/>
            <family val="2"/>
          </rPr>
          <t>Coeficiente que leva em conta as boas práticas de uso e conservação da água na propriedade rural onde se dá o uso de recursos hídricos.
Considera-se K=0,5,  considerando que a tecnologia não foi informada</t>
        </r>
      </text>
    </comment>
    <comment ref="J65" authorId="1" shapeId="0" xr:uid="{FCE3755B-54EC-4406-9036-845E85C2A573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D77" authorId="1" shapeId="0" xr:uid="{0ADCF616-4721-4669-AD03-BA2244B05968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E77" authorId="2" shapeId="0" xr:uid="{7B846AC0-B04D-434F-A2CD-903BB42F3F39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F77" authorId="1" shapeId="0" xr:uid="{ADE89D7D-2178-4BF7-85DA-C6631E44DBB7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G77" authorId="1" shapeId="0" xr:uid="{FA3189A1-C174-46BF-A393-1EBF7D47FB16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H77" authorId="2" shapeId="0" xr:uid="{DFAE36D0-76AF-45E4-80FF-97D0FBE54778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I77" authorId="1" shapeId="0" xr:uid="{F8F8BEF9-B2BB-46D5-B1BE-C158444C8664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J77" authorId="2" shapeId="0" xr:uid="{9429C10C-0894-4B75-854B-98270E3AD497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L77" authorId="1" shapeId="0" xr:uid="{7FDBCBF3-1A17-4181-89B3-2ADD4D39ACBD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</commentList>
</comments>
</file>

<file path=xl/sharedStrings.xml><?xml version="1.0" encoding="utf-8"?>
<sst xmlns="http://schemas.openxmlformats.org/spreadsheetml/2006/main" count="1984" uniqueCount="131">
  <si>
    <t>RENDA BRUTA</t>
  </si>
  <si>
    <t>ABASTECIMENTO</t>
  </si>
  <si>
    <t xml:space="preserve">AQUICULTURA </t>
  </si>
  <si>
    <t>INDÚSTRIA</t>
  </si>
  <si>
    <t>IRRIGAÇÃO</t>
  </si>
  <si>
    <t>TERMELÉTRICA</t>
  </si>
  <si>
    <t>FN002 - Receita operacional direta de água/SNIS - 2022</t>
  </si>
  <si>
    <t>Valor da venda de produtos da aquicultura / Sidra IBGE - Tabela 9272 - 2017</t>
  </si>
  <si>
    <t>Valor adicionado bruto a preços correntes da indústria / Sidra IBGE - Tabela 5938 - 2021</t>
  </si>
  <si>
    <t>Valor adicionado bruto a preços correntes da agropecuária / Sidra IBGE - Tabela 5938 - 2021</t>
  </si>
  <si>
    <t>Balanços patrimoniais das Termelétricas / 2022</t>
  </si>
  <si>
    <t>Carapebus</t>
  </si>
  <si>
    <t>Casimiro de Abreu</t>
  </si>
  <si>
    <t>Conceição de Macabu</t>
  </si>
  <si>
    <t>Macaé</t>
  </si>
  <si>
    <t>Nova Friburgo</t>
  </si>
  <si>
    <t>Rio das Ostras</t>
  </si>
  <si>
    <t>RH-VIII</t>
  </si>
  <si>
    <t>Renda calculada com base nos indicadores do SNIS/ Sidra IBGE e Balanços patrimoniais das termoelétricas</t>
  </si>
  <si>
    <t>Norte Fluminense</t>
  </si>
  <si>
    <t>Termomacaé</t>
  </si>
  <si>
    <t>Correção para preços correntes</t>
  </si>
  <si>
    <t>Deflator</t>
  </si>
  <si>
    <t>IPCA 2022-2023</t>
  </si>
  <si>
    <t>IPCA 2017-2023</t>
  </si>
  <si>
    <t>IPCA 2021-2023</t>
  </si>
  <si>
    <t>RENDA COM CORREÇÃO MONETÁRIA</t>
  </si>
  <si>
    <t>FN002 - Receita operacional direta de água/SNIS - 2023</t>
  </si>
  <si>
    <t>Valor da venda de produtos da aquicultura / Sidra IBGE - Tabela 9272 - 2023</t>
  </si>
  <si>
    <t>Valor adicionado bruto a preços correntes da indústria / Sidra IBGE - Tabela 5938 -  2023</t>
  </si>
  <si>
    <t>Valor adicionado bruto a preços correntes da agropecuária / Sidra IBGE - Tabela 5938 -  2023</t>
  </si>
  <si>
    <t>Renda Líquida do Balanço Patrimonial / Balanços das empresas - 2023</t>
  </si>
  <si>
    <t xml:space="preserve">RENDA DOS SETORES USUÁRIOS </t>
  </si>
  <si>
    <t>Renda corrigida</t>
  </si>
  <si>
    <t>Metodologia:</t>
  </si>
  <si>
    <t>Demandas:</t>
  </si>
  <si>
    <t>Municípios</t>
  </si>
  <si>
    <t xml:space="preserve">Vazão captada </t>
  </si>
  <si>
    <t>Qcap (m³/s)</t>
  </si>
  <si>
    <t>Valor Cobrado Anual (R$/ano)</t>
  </si>
  <si>
    <t>TOTAL RH-VIII</t>
  </si>
  <si>
    <t>R$/m³</t>
  </si>
  <si>
    <t>ABASTECIMENTO PÚBLICO</t>
  </si>
  <si>
    <t>AQUICULTURA</t>
  </si>
  <si>
    <t>TERMOELÉTRICA</t>
  </si>
  <si>
    <t>MUNICÍPIOS</t>
  </si>
  <si>
    <t>Arrecadação por Setor</t>
  </si>
  <si>
    <t>Impacto por Setor</t>
  </si>
  <si>
    <t>Arrecadação/Renda (%)</t>
  </si>
  <si>
    <t>Cálculos base da arrecadação por setor</t>
  </si>
  <si>
    <t>Município</t>
  </si>
  <si>
    <t>Manual de Usos Consuntivos</t>
  </si>
  <si>
    <t>Atlas Águas</t>
  </si>
  <si>
    <t>SNIS</t>
  </si>
  <si>
    <t>PERHI-RJ</t>
  </si>
  <si>
    <t>Ref.: 2023</t>
  </si>
  <si>
    <t>Ref.: 2020</t>
  </si>
  <si>
    <t>Ref.: 2021</t>
  </si>
  <si>
    <t>Ref. 2022</t>
  </si>
  <si>
    <t>Ref. 2014</t>
  </si>
  <si>
    <t>Total</t>
  </si>
  <si>
    <t>DEMANDAS HÍDRICAS RH-VIII</t>
  </si>
  <si>
    <t>PPU 1</t>
  </si>
  <si>
    <t>PPU 2</t>
  </si>
  <si>
    <t>PPU 3</t>
  </si>
  <si>
    <t>Cadastro de Outorga (Outorgado)</t>
  </si>
  <si>
    <t>Cadastro de Outorgas (Total)</t>
  </si>
  <si>
    <r>
      <t>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/s)</t>
    </r>
  </si>
  <si>
    <t>Cenário 1</t>
  </si>
  <si>
    <t>Vazões de captação (m³/s)</t>
  </si>
  <si>
    <t>VARIAÇÕES DO PPU</t>
  </si>
  <si>
    <t>Cenário 2</t>
  </si>
  <si>
    <t>Cenário</t>
  </si>
  <si>
    <t>PPU</t>
  </si>
  <si>
    <t>Demandas</t>
  </si>
  <si>
    <t>SÍNTESE IMPACTO CENÁRIOS</t>
  </si>
  <si>
    <t>..</t>
  </si>
  <si>
    <t>Maiores demandas hídricas</t>
  </si>
  <si>
    <t>Processos de outorga em análise e outorgados</t>
  </si>
  <si>
    <t>Processos de outorga outorgados</t>
  </si>
  <si>
    <t>Cenários de Demandas Hídricas</t>
  </si>
  <si>
    <t>PPU:</t>
  </si>
  <si>
    <t>Valores cobrados (R$/ano)</t>
  </si>
  <si>
    <t>Valor captação</t>
  </si>
  <si>
    <t>Valor consumo</t>
  </si>
  <si>
    <t>Valor Lançamento</t>
  </si>
  <si>
    <t xml:space="preserve">Vazão Consumida </t>
  </si>
  <si>
    <t>Qcap (m³/ano)</t>
  </si>
  <si>
    <t>Lançamento</t>
  </si>
  <si>
    <t>Kcapclasse</t>
  </si>
  <si>
    <t>Kpd</t>
  </si>
  <si>
    <t>Gestão</t>
  </si>
  <si>
    <t>Kgestão</t>
  </si>
  <si>
    <t>Valor Total</t>
  </si>
  <si>
    <t>QcapT (m³/ano)</t>
  </si>
  <si>
    <t>QlançT (m³/ano)</t>
  </si>
  <si>
    <t>COdbo (kg/ano)</t>
  </si>
  <si>
    <t>PPU cap (R$/m³)</t>
  </si>
  <si>
    <t>PPU con (R$/m³)</t>
  </si>
  <si>
    <t>Kconsumo</t>
  </si>
  <si>
    <t xml:space="preserve">As simulações de Potencial de Arrecadação "B" utilizaram da metodologia adotada para cobrança na Bacia do Paraíba do Sul </t>
  </si>
  <si>
    <t>Outros coef.</t>
  </si>
  <si>
    <t>K agropec</t>
  </si>
  <si>
    <t>Cenários de Cargas Poluidoras</t>
  </si>
  <si>
    <t>Cenário 3</t>
  </si>
  <si>
    <t>Maiores cargas poluidoras</t>
  </si>
  <si>
    <t>ESGOTAMENTO SANITÁRIO</t>
  </si>
  <si>
    <t>Atlas Esgotos</t>
  </si>
  <si>
    <t>Ref.: 2022</t>
  </si>
  <si>
    <t>Estimativas de carga pela tipologia industrial</t>
  </si>
  <si>
    <t>(kgDBO/dia)</t>
  </si>
  <si>
    <t>CARGAS POLUIDORAS RH-VIII</t>
  </si>
  <si>
    <t>CENÁRIO B.1.3</t>
  </si>
  <si>
    <t>CENÁRIO B.2.1</t>
  </si>
  <si>
    <t>CENÁRIO B.1.2</t>
  </si>
  <si>
    <t>CENÁRIO B.2.2</t>
  </si>
  <si>
    <t>CENÁRIO B.3.2</t>
  </si>
  <si>
    <t>CENÁRIO B.3.3</t>
  </si>
  <si>
    <t>CENÁRIO B.3.1</t>
  </si>
  <si>
    <t>CENÁRIO B.2.3</t>
  </si>
  <si>
    <t>B.1.1</t>
  </si>
  <si>
    <t>B.2.1</t>
  </si>
  <si>
    <t>B.3.1</t>
  </si>
  <si>
    <t>B.1.2</t>
  </si>
  <si>
    <t>B.2.2</t>
  </si>
  <si>
    <t>B.3.2</t>
  </si>
  <si>
    <t>B.1.3</t>
  </si>
  <si>
    <t>B.2.3</t>
  </si>
  <si>
    <t>B.3.3</t>
  </si>
  <si>
    <t>os imp</t>
  </si>
  <si>
    <t>Carga de DBO (kg/ano)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</si>
</sst>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0"/>
    <numFmt numFmtId="165" formatCode="#,##0.0000"/>
    <numFmt numFmtId="166" formatCode="#,##0.00000"/>
  </numFmts>
  <fonts count="1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name val="Arial"/>
      <family val="2"/>
    </font>
    <font>
      <b/>
      <sz val="8"/>
      <color rgb="FF000000"/>
      <name val="Arial"/>
      <family val="2"/>
    </font>
    <font>
      <b/>
      <sz val="9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3" fillId="2" borderId="3" xfId="0" applyFont="1" applyFill="1" applyBorder="1"/>
    <xf numFmtId="0" fontId="3" fillId="2" borderId="4" xfId="0" applyFont="1" applyFill="1" applyBorder="1"/>
    <xf numFmtId="0" fontId="4" fillId="2" borderId="3" xfId="0" applyFont="1" applyFill="1" applyBorder="1"/>
    <xf numFmtId="0" fontId="3" fillId="2" borderId="10" xfId="0" applyFont="1" applyFill="1" applyBorder="1"/>
    <xf numFmtId="0" fontId="3" fillId="2" borderId="0" xfId="0" applyFont="1" applyFill="1" applyAlignment="1">
      <alignment horizontal="left"/>
    </xf>
    <xf numFmtId="0" fontId="10" fillId="2" borderId="0" xfId="0" applyFont="1" applyFill="1"/>
    <xf numFmtId="44" fontId="10" fillId="2" borderId="0" xfId="0" applyNumberFormat="1" applyFont="1" applyFill="1"/>
    <xf numFmtId="0" fontId="10" fillId="2" borderId="10" xfId="0" applyFont="1" applyFill="1" applyBorder="1"/>
    <xf numFmtId="0" fontId="10" fillId="2" borderId="0" xfId="0" applyFont="1" applyFill="1" applyAlignment="1">
      <alignment horizontal="center"/>
    </xf>
    <xf numFmtId="44" fontId="3" fillId="2" borderId="0" xfId="0" applyNumberFormat="1" applyFont="1" applyFill="1" applyAlignment="1">
      <alignment horizontal="right"/>
    </xf>
    <xf numFmtId="44" fontId="3" fillId="2" borderId="0" xfId="0" applyNumberFormat="1" applyFont="1" applyFill="1" applyAlignment="1">
      <alignment horizontal="center"/>
    </xf>
    <xf numFmtId="44" fontId="3" fillId="2" borderId="0" xfId="1" applyNumberFormat="1" applyFont="1" applyFill="1" applyBorder="1"/>
    <xf numFmtId="0" fontId="4" fillId="6" borderId="17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/>
    </xf>
    <xf numFmtId="44" fontId="3" fillId="2" borderId="15" xfId="0" applyNumberFormat="1" applyFont="1" applyFill="1" applyBorder="1" applyAlignment="1">
      <alignment horizontal="right"/>
    </xf>
    <xf numFmtId="44" fontId="3" fillId="2" borderId="15" xfId="0" applyNumberFormat="1" applyFont="1" applyFill="1" applyBorder="1" applyAlignment="1">
      <alignment horizontal="center"/>
    </xf>
    <xf numFmtId="9" fontId="3" fillId="2" borderId="15" xfId="3" applyFont="1" applyFill="1" applyBorder="1" applyAlignment="1">
      <alignment horizontal="center"/>
    </xf>
    <xf numFmtId="0" fontId="4" fillId="6" borderId="17" xfId="0" applyFont="1" applyFill="1" applyBorder="1" applyAlignment="1">
      <alignment horizontal="center" vertical="center" wrapText="1"/>
    </xf>
    <xf numFmtId="44" fontId="3" fillId="2" borderId="15" xfId="1" applyNumberFormat="1" applyFont="1" applyFill="1" applyBorder="1"/>
    <xf numFmtId="44" fontId="3" fillId="6" borderId="1" xfId="0" applyNumberFormat="1" applyFont="1" applyFill="1" applyBorder="1"/>
    <xf numFmtId="44" fontId="3" fillId="6" borderId="1" xfId="1" applyNumberFormat="1" applyFont="1" applyFill="1" applyBorder="1"/>
    <xf numFmtId="0" fontId="3" fillId="2" borderId="3" xfId="0" applyFont="1" applyFill="1" applyBorder="1" applyAlignment="1">
      <alignment horizontal="center"/>
    </xf>
    <xf numFmtId="0" fontId="4" fillId="6" borderId="6" xfId="0" applyFont="1" applyFill="1" applyBorder="1"/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/>
    <xf numFmtId="0" fontId="4" fillId="2" borderId="9" xfId="0" applyFont="1" applyFill="1" applyBorder="1"/>
    <xf numFmtId="44" fontId="4" fillId="2" borderId="12" xfId="1" applyNumberFormat="1" applyFont="1" applyFill="1" applyBorder="1"/>
    <xf numFmtId="0" fontId="3" fillId="2" borderId="20" xfId="0" applyFont="1" applyFill="1" applyBorder="1"/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13" fillId="2" borderId="0" xfId="0" applyFont="1" applyFill="1"/>
    <xf numFmtId="0" fontId="9" fillId="7" borderId="17" xfId="0" applyFont="1" applyFill="1" applyBorder="1" applyAlignment="1">
      <alignment horizontal="center"/>
    </xf>
    <xf numFmtId="0" fontId="9" fillId="2" borderId="12" xfId="0" applyFont="1" applyFill="1" applyBorder="1"/>
    <xf numFmtId="44" fontId="9" fillId="2" borderId="12" xfId="0" applyNumberFormat="1" applyFont="1" applyFill="1" applyBorder="1"/>
    <xf numFmtId="0" fontId="9" fillId="6" borderId="0" xfId="0" applyFont="1" applyFill="1"/>
    <xf numFmtId="0" fontId="10" fillId="6" borderId="0" xfId="0" applyFont="1" applyFill="1" applyAlignment="1">
      <alignment wrapText="1"/>
    </xf>
    <xf numFmtId="0" fontId="10" fillId="6" borderId="0" xfId="0" applyFont="1" applyFill="1"/>
    <xf numFmtId="0" fontId="10" fillId="2" borderId="10" xfId="0" applyFont="1" applyFill="1" applyBorder="1" applyAlignment="1">
      <alignment wrapText="1"/>
    </xf>
    <xf numFmtId="0" fontId="10" fillId="2" borderId="0" xfId="0" applyFont="1" applyFill="1" applyAlignment="1">
      <alignment wrapText="1"/>
    </xf>
    <xf numFmtId="0" fontId="9" fillId="2" borderId="0" xfId="0" applyFont="1" applyFill="1"/>
    <xf numFmtId="0" fontId="9" fillId="13" borderId="10" xfId="0" applyFont="1" applyFill="1" applyBorder="1" applyAlignment="1">
      <alignment horizontal="center" vertical="center" wrapText="1"/>
    </xf>
    <xf numFmtId="4" fontId="10" fillId="5" borderId="0" xfId="0" applyNumberFormat="1" applyFont="1" applyFill="1"/>
    <xf numFmtId="0" fontId="9" fillId="2" borderId="10" xfId="0" applyFont="1" applyFill="1" applyBorder="1"/>
    <xf numFmtId="0" fontId="10" fillId="3" borderId="0" xfId="0" applyFont="1" applyFill="1"/>
    <xf numFmtId="0" fontId="10" fillId="3" borderId="10" xfId="0" applyFont="1" applyFill="1" applyBorder="1"/>
    <xf numFmtId="0" fontId="4" fillId="2" borderId="0" xfId="0" applyFont="1" applyFill="1" applyAlignment="1">
      <alignment horizontal="left"/>
    </xf>
    <xf numFmtId="165" fontId="10" fillId="5" borderId="0" xfId="0" applyNumberFormat="1" applyFont="1" applyFill="1"/>
    <xf numFmtId="165" fontId="10" fillId="5" borderId="10" xfId="0" applyNumberFormat="1" applyFont="1" applyFill="1" applyBorder="1"/>
    <xf numFmtId="0" fontId="10" fillId="6" borderId="0" xfId="0" applyFont="1" applyFill="1" applyAlignment="1">
      <alignment horizontal="left"/>
    </xf>
    <xf numFmtId="10" fontId="10" fillId="2" borderId="0" xfId="3" applyNumberFormat="1" applyFont="1" applyFill="1" applyAlignment="1">
      <alignment vertical="center"/>
    </xf>
    <xf numFmtId="10" fontId="9" fillId="2" borderId="12" xfId="3" applyNumberFormat="1" applyFont="1" applyFill="1" applyBorder="1" applyAlignment="1">
      <alignment vertical="center"/>
    </xf>
    <xf numFmtId="0" fontId="9" fillId="7" borderId="21" xfId="0" applyFont="1" applyFill="1" applyBorder="1" applyAlignment="1">
      <alignment horizontal="center"/>
    </xf>
    <xf numFmtId="0" fontId="10" fillId="2" borderId="3" xfId="0" applyFont="1" applyFill="1" applyBorder="1"/>
    <xf numFmtId="0" fontId="9" fillId="2" borderId="9" xfId="0" applyFont="1" applyFill="1" applyBorder="1"/>
    <xf numFmtId="10" fontId="10" fillId="2" borderId="0" xfId="3" applyNumberFormat="1" applyFont="1" applyFill="1" applyBorder="1" applyAlignment="1">
      <alignment horizontal="center" vertical="center"/>
    </xf>
    <xf numFmtId="10" fontId="10" fillId="2" borderId="4" xfId="3" applyNumberFormat="1" applyFont="1" applyFill="1" applyBorder="1" applyAlignment="1">
      <alignment horizontal="center" vertical="center"/>
    </xf>
    <xf numFmtId="10" fontId="9" fillId="2" borderId="12" xfId="3" applyNumberFormat="1" applyFont="1" applyFill="1" applyBorder="1" applyAlignment="1">
      <alignment horizontal="center" vertical="center"/>
    </xf>
    <xf numFmtId="10" fontId="9" fillId="2" borderId="22" xfId="3" applyNumberFormat="1" applyFont="1" applyFill="1" applyBorder="1" applyAlignment="1">
      <alignment horizontal="center" vertical="center"/>
    </xf>
    <xf numFmtId="0" fontId="9" fillId="6" borderId="2" xfId="0" applyFont="1" applyFill="1" applyBorder="1"/>
    <xf numFmtId="0" fontId="9" fillId="6" borderId="5" xfId="0" applyFont="1" applyFill="1" applyBorder="1"/>
    <xf numFmtId="0" fontId="10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/>
    </xf>
    <xf numFmtId="0" fontId="4" fillId="19" borderId="1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3" fillId="6" borderId="1" xfId="0" applyFont="1" applyFill="1" applyBorder="1"/>
    <xf numFmtId="0" fontId="4" fillId="17" borderId="1" xfId="0" applyFont="1" applyFill="1" applyBorder="1" applyAlignment="1">
      <alignment horizontal="center"/>
    </xf>
    <xf numFmtId="44" fontId="9" fillId="2" borderId="0" xfId="0" applyNumberFormat="1" applyFont="1" applyFill="1"/>
    <xf numFmtId="10" fontId="9" fillId="2" borderId="0" xfId="3" applyNumberFormat="1" applyFont="1" applyFill="1" applyBorder="1" applyAlignment="1">
      <alignment vertical="center"/>
    </xf>
    <xf numFmtId="0" fontId="9" fillId="10" borderId="10" xfId="0" applyFont="1" applyFill="1" applyBorder="1" applyAlignment="1">
      <alignment vertical="center"/>
    </xf>
    <xf numFmtId="3" fontId="10" fillId="5" borderId="0" xfId="0" applyNumberFormat="1" applyFont="1" applyFill="1" applyAlignment="1">
      <alignment horizontal="center"/>
    </xf>
    <xf numFmtId="3" fontId="10" fillId="5" borderId="10" xfId="0" applyNumberFormat="1" applyFont="1" applyFill="1" applyBorder="1" applyAlignment="1">
      <alignment horizontal="center"/>
    </xf>
    <xf numFmtId="4" fontId="10" fillId="5" borderId="0" xfId="0" applyNumberFormat="1" applyFont="1" applyFill="1" applyAlignment="1">
      <alignment horizontal="center"/>
    </xf>
    <xf numFmtId="4" fontId="10" fillId="5" borderId="10" xfId="0" applyNumberFormat="1" applyFont="1" applyFill="1" applyBorder="1" applyAlignment="1">
      <alignment horizontal="center"/>
    </xf>
    <xf numFmtId="0" fontId="9" fillId="14" borderId="10" xfId="0" applyFont="1" applyFill="1" applyBorder="1" applyAlignment="1">
      <alignment horizontal="center" vertical="center" wrapText="1"/>
    </xf>
    <xf numFmtId="4" fontId="10" fillId="15" borderId="0" xfId="0" applyNumberFormat="1" applyFont="1" applyFill="1" applyAlignment="1">
      <alignment horizontal="center"/>
    </xf>
    <xf numFmtId="4" fontId="10" fillId="15" borderId="10" xfId="0" applyNumberFormat="1" applyFont="1" applyFill="1" applyBorder="1" applyAlignment="1">
      <alignment horizontal="center"/>
    </xf>
    <xf numFmtId="0" fontId="9" fillId="20" borderId="10" xfId="0" applyFont="1" applyFill="1" applyBorder="1" applyAlignment="1">
      <alignment horizontal="center" vertical="center" wrapText="1"/>
    </xf>
    <xf numFmtId="0" fontId="9" fillId="21" borderId="11" xfId="0" applyFont="1" applyFill="1" applyBorder="1" applyAlignment="1">
      <alignment horizontal="center" vertical="center" wrapText="1"/>
    </xf>
    <xf numFmtId="0" fontId="10" fillId="7" borderId="0" xfId="0" applyFont="1" applyFill="1"/>
    <xf numFmtId="0" fontId="10" fillId="7" borderId="10" xfId="0" applyFont="1" applyFill="1" applyBorder="1"/>
    <xf numFmtId="0" fontId="9" fillId="23" borderId="11" xfId="0" applyFont="1" applyFill="1" applyBorder="1" applyAlignment="1">
      <alignment horizontal="center" vertical="center" wrapText="1"/>
    </xf>
    <xf numFmtId="0" fontId="9" fillId="18" borderId="11" xfId="0" applyFont="1" applyFill="1" applyBorder="1" applyAlignment="1">
      <alignment horizontal="center" vertical="center" wrapText="1"/>
    </xf>
    <xf numFmtId="44" fontId="10" fillId="6" borderId="0" xfId="2" applyFont="1" applyFill="1" applyBorder="1" applyAlignment="1">
      <alignment wrapText="1"/>
    </xf>
    <xf numFmtId="44" fontId="10" fillId="6" borderId="10" xfId="2" applyFont="1" applyFill="1" applyBorder="1" applyAlignment="1">
      <alignment wrapText="1"/>
    </xf>
    <xf numFmtId="0" fontId="9" fillId="12" borderId="10" xfId="0" applyFont="1" applyFill="1" applyBorder="1" applyAlignment="1">
      <alignment horizontal="center" vertical="center" wrapText="1"/>
    </xf>
    <xf numFmtId="166" fontId="10" fillId="5" borderId="0" xfId="0" applyNumberFormat="1" applyFont="1" applyFill="1" applyAlignment="1">
      <alignment horizontal="center"/>
    </xf>
    <xf numFmtId="166" fontId="10" fillId="5" borderId="10" xfId="0" applyNumberFormat="1" applyFont="1" applyFill="1" applyBorder="1" applyAlignment="1">
      <alignment horizontal="center"/>
    </xf>
    <xf numFmtId="44" fontId="9" fillId="2" borderId="10" xfId="0" applyNumberFormat="1" applyFont="1" applyFill="1" applyBorder="1"/>
    <xf numFmtId="166" fontId="10" fillId="15" borderId="0" xfId="0" applyNumberFormat="1" applyFont="1" applyFill="1" applyAlignment="1">
      <alignment horizontal="center"/>
    </xf>
    <xf numFmtId="166" fontId="10" fillId="15" borderId="10" xfId="0" applyNumberFormat="1" applyFont="1" applyFill="1" applyBorder="1" applyAlignment="1">
      <alignment horizontal="center"/>
    </xf>
    <xf numFmtId="0" fontId="9" fillId="22" borderId="10" xfId="0" applyFont="1" applyFill="1" applyBorder="1" applyAlignment="1">
      <alignment horizontal="center" vertical="center" wrapText="1"/>
    </xf>
    <xf numFmtId="0" fontId="10" fillId="25" borderId="0" xfId="0" applyFont="1" applyFill="1"/>
    <xf numFmtId="0" fontId="10" fillId="25" borderId="10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0" fontId="12" fillId="7" borderId="25" xfId="0" applyFont="1" applyFill="1" applyBorder="1" applyAlignment="1">
      <alignment horizontal="center" vertical="center" wrapText="1"/>
    </xf>
    <xf numFmtId="164" fontId="2" fillId="2" borderId="25" xfId="0" applyNumberFormat="1" applyFont="1" applyFill="1" applyBorder="1" applyAlignment="1">
      <alignment horizontal="center" vertical="center" wrapText="1"/>
    </xf>
    <xf numFmtId="164" fontId="15" fillId="2" borderId="25" xfId="0" applyNumberFormat="1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15" fillId="2" borderId="25" xfId="0" applyFont="1" applyFill="1" applyBorder="1" applyAlignment="1">
      <alignment horizontal="left" vertical="center" wrapText="1"/>
    </xf>
    <xf numFmtId="0" fontId="12" fillId="18" borderId="25" xfId="0" applyFont="1" applyFill="1" applyBorder="1" applyAlignment="1">
      <alignment horizontal="center" vertical="center" wrapText="1"/>
    </xf>
    <xf numFmtId="0" fontId="12" fillId="15" borderId="25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2" fontId="2" fillId="2" borderId="25" xfId="0" applyNumberFormat="1" applyFont="1" applyFill="1" applyBorder="1" applyAlignment="1">
      <alignment horizontal="center" vertical="center" wrapText="1"/>
    </xf>
    <xf numFmtId="2" fontId="15" fillId="2" borderId="25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8" borderId="18" xfId="0" applyFont="1" applyFill="1" applyBorder="1" applyAlignment="1">
      <alignment horizontal="center"/>
    </xf>
    <xf numFmtId="0" fontId="6" fillId="8" borderId="14" xfId="0" applyFont="1" applyFill="1" applyBorder="1" applyAlignment="1">
      <alignment horizontal="center"/>
    </xf>
    <xf numFmtId="0" fontId="6" fillId="8" borderId="19" xfId="0" applyFont="1" applyFill="1" applyBorder="1" applyAlignment="1">
      <alignment horizontal="center"/>
    </xf>
    <xf numFmtId="0" fontId="13" fillId="15" borderId="25" xfId="0" applyFont="1" applyFill="1" applyBorder="1" applyAlignment="1">
      <alignment horizontal="center"/>
    </xf>
    <xf numFmtId="0" fontId="12" fillId="15" borderId="25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/>
    </xf>
    <xf numFmtId="0" fontId="12" fillId="3" borderId="25" xfId="0" applyFont="1" applyFill="1" applyBorder="1" applyAlignment="1">
      <alignment horizontal="center" vertical="center" wrapText="1"/>
    </xf>
    <xf numFmtId="0" fontId="5" fillId="16" borderId="0" xfId="0" applyFont="1" applyFill="1" applyAlignment="1">
      <alignment horizontal="center"/>
    </xf>
    <xf numFmtId="0" fontId="12" fillId="4" borderId="25" xfId="0" applyFont="1" applyFill="1" applyBorder="1" applyAlignment="1">
      <alignment horizontal="center"/>
    </xf>
    <xf numFmtId="0" fontId="12" fillId="4" borderId="25" xfId="0" applyFont="1" applyFill="1" applyBorder="1" applyAlignment="1">
      <alignment horizontal="center" vertical="center" wrapText="1"/>
    </xf>
    <xf numFmtId="0" fontId="13" fillId="7" borderId="25" xfId="0" applyFont="1" applyFill="1" applyBorder="1" applyAlignment="1">
      <alignment horizontal="center"/>
    </xf>
    <xf numFmtId="0" fontId="12" fillId="6" borderId="25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0" fontId="13" fillId="18" borderId="25" xfId="0" applyFont="1" applyFill="1" applyBorder="1" applyAlignment="1">
      <alignment horizontal="center"/>
    </xf>
    <xf numFmtId="0" fontId="12" fillId="18" borderId="25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/>
    </xf>
    <xf numFmtId="0" fontId="4" fillId="17" borderId="1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/>
    </xf>
    <xf numFmtId="0" fontId="4" fillId="19" borderId="1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4" xfId="0" applyFont="1" applyFill="1" applyBorder="1" applyAlignment="1">
      <alignment horizontal="left"/>
    </xf>
    <xf numFmtId="0" fontId="10" fillId="2" borderId="24" xfId="0" applyFont="1" applyFill="1" applyBorder="1" applyAlignment="1">
      <alignment horizontal="left"/>
    </xf>
    <xf numFmtId="0" fontId="10" fillId="2" borderId="14" xfId="0" applyFont="1" applyFill="1" applyBorder="1" applyAlignment="1">
      <alignment horizontal="left"/>
    </xf>
    <xf numFmtId="0" fontId="10" fillId="2" borderId="19" xfId="0" applyFont="1" applyFill="1" applyBorder="1" applyAlignment="1">
      <alignment horizontal="left"/>
    </xf>
    <xf numFmtId="0" fontId="9" fillId="7" borderId="17" xfId="0" applyFont="1" applyFill="1" applyBorder="1" applyAlignment="1">
      <alignment horizontal="center"/>
    </xf>
    <xf numFmtId="0" fontId="9" fillId="7" borderId="21" xfId="0" applyFont="1" applyFill="1" applyBorder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9" fillId="6" borderId="17" xfId="0" applyFont="1" applyFill="1" applyBorder="1" applyAlignment="1">
      <alignment horizontal="center"/>
    </xf>
    <xf numFmtId="0" fontId="9" fillId="6" borderId="21" xfId="0" applyFont="1" applyFill="1" applyBorder="1" applyAlignment="1">
      <alignment horizontal="center"/>
    </xf>
    <xf numFmtId="0" fontId="9" fillId="7" borderId="16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16" fillId="16" borderId="0" xfId="0" applyFont="1" applyFill="1" applyAlignment="1">
      <alignment horizontal="center"/>
    </xf>
    <xf numFmtId="0" fontId="6" fillId="16" borderId="0" xfId="0" applyFont="1" applyFill="1" applyAlignment="1">
      <alignment horizontal="center"/>
    </xf>
    <xf numFmtId="0" fontId="10" fillId="6" borderId="0" xfId="0" applyFont="1" applyFill="1" applyAlignment="1">
      <alignment horizontal="left"/>
    </xf>
    <xf numFmtId="0" fontId="9" fillId="6" borderId="0" xfId="0" applyFont="1" applyFill="1" applyAlignment="1">
      <alignment horizontal="center"/>
    </xf>
    <xf numFmtId="0" fontId="9" fillId="7" borderId="13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10" borderId="10" xfId="0" applyFont="1" applyFill="1" applyBorder="1" applyAlignment="1">
      <alignment horizontal="center" vertical="center"/>
    </xf>
    <xf numFmtId="0" fontId="9" fillId="11" borderId="10" xfId="0" applyFont="1" applyFill="1" applyBorder="1" applyAlignment="1">
      <alignment horizontal="center" vertical="center"/>
    </xf>
    <xf numFmtId="0" fontId="9" fillId="9" borderId="10" xfId="0" applyFont="1" applyFill="1" applyBorder="1" applyAlignment="1">
      <alignment horizontal="center" vertical="center" wrapText="1"/>
    </xf>
    <xf numFmtId="0" fontId="9" fillId="24" borderId="10" xfId="0" applyFont="1" applyFill="1" applyBorder="1" applyAlignment="1">
      <alignment horizontal="center" vertical="center" wrapText="1"/>
    </xf>
    <xf numFmtId="0" fontId="9" fillId="11" borderId="1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colors>
    <mruColors>
      <color rgb="FFFFFF99"/>
      <color rgb="FFFFFF69"/>
      <color rgb="FFFFFF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20</xdr:row>
      <xdr:rowOff>19294</xdr:rowOff>
    </xdr:from>
    <xdr:to>
      <xdr:col>3</xdr:col>
      <xdr:colOff>962025</xdr:colOff>
      <xdr:row>22</xdr:row>
      <xdr:rowOff>128331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496C773-A063-4ED4-91A4-EC7724DBE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1650" y="3133969"/>
          <a:ext cx="2609850" cy="413837"/>
        </a:xfrm>
        <a:prstGeom prst="rect">
          <a:avLst/>
        </a:prstGeom>
      </xdr:spPr>
    </xdr:pic>
    <xdr:clientData/>
  </xdr:twoCellAnchor>
  <xdr:twoCellAnchor editAs="oneCell">
    <xdr:from>
      <xdr:col>6</xdr:col>
      <xdr:colOff>495300</xdr:colOff>
      <xdr:row>20</xdr:row>
      <xdr:rowOff>41139</xdr:rowOff>
    </xdr:from>
    <xdr:to>
      <xdr:col>9</xdr:col>
      <xdr:colOff>342900</xdr:colOff>
      <xdr:row>22</xdr:row>
      <xdr:rowOff>66675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B4F4D9C-73D1-4442-AAD5-748B399BD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0" y="3155814"/>
          <a:ext cx="2933700" cy="330336"/>
        </a:xfrm>
        <a:prstGeom prst="rect">
          <a:avLst/>
        </a:prstGeom>
      </xdr:spPr>
    </xdr:pic>
    <xdr:clientData/>
  </xdr:twoCellAnchor>
  <xdr:twoCellAnchor editAs="oneCell">
    <xdr:from>
      <xdr:col>9</xdr:col>
      <xdr:colOff>933450</xdr:colOff>
      <xdr:row>20</xdr:row>
      <xdr:rowOff>67415</xdr:rowOff>
    </xdr:from>
    <xdr:to>
      <xdr:col>11</xdr:col>
      <xdr:colOff>828675</xdr:colOff>
      <xdr:row>21</xdr:row>
      <xdr:rowOff>151845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78DC3F8-1708-4F76-BBF3-41951B3F90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4399" t="73504" r="34247" b="-4833"/>
        <a:stretch/>
      </xdr:blipFill>
      <xdr:spPr>
        <a:xfrm>
          <a:off x="10382250" y="3182090"/>
          <a:ext cx="1876425" cy="236830"/>
        </a:xfrm>
        <a:prstGeom prst="rect">
          <a:avLst/>
        </a:prstGeom>
      </xdr:spPr>
    </xdr:pic>
    <xdr:clientData/>
  </xdr:twoCellAnchor>
  <xdr:twoCellAnchor editAs="oneCell">
    <xdr:from>
      <xdr:col>12</xdr:col>
      <xdr:colOff>800100</xdr:colOff>
      <xdr:row>20</xdr:row>
      <xdr:rowOff>106417</xdr:rowOff>
    </xdr:from>
    <xdr:to>
      <xdr:col>16</xdr:col>
      <xdr:colOff>141654</xdr:colOff>
      <xdr:row>22</xdr:row>
      <xdr:rowOff>119000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D5156FC-9D39-4F41-9C39-A3171AB63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230225" y="3221092"/>
          <a:ext cx="3313479" cy="317383"/>
        </a:xfrm>
        <a:prstGeom prst="rect">
          <a:avLst/>
        </a:prstGeom>
      </xdr:spPr>
    </xdr:pic>
    <xdr:clientData/>
  </xdr:twoCellAnchor>
  <xdr:twoCellAnchor editAs="oneCell">
    <xdr:from>
      <xdr:col>5</xdr:col>
      <xdr:colOff>275723</xdr:colOff>
      <xdr:row>33</xdr:row>
      <xdr:rowOff>85725</xdr:rowOff>
    </xdr:from>
    <xdr:to>
      <xdr:col>10</xdr:col>
      <xdr:colOff>180974</xdr:colOff>
      <xdr:row>37</xdr:row>
      <xdr:rowOff>54707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91D6AAB6-6B1A-48AA-B695-C58D323F7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562098" y="5724525"/>
          <a:ext cx="5144001" cy="588107"/>
        </a:xfrm>
        <a:prstGeom prst="rect">
          <a:avLst/>
        </a:prstGeom>
      </xdr:spPr>
    </xdr:pic>
    <xdr:clientData/>
  </xdr:twoCellAnchor>
  <xdr:twoCellAnchor editAs="oneCell">
    <xdr:from>
      <xdr:col>10</xdr:col>
      <xdr:colOff>247649</xdr:colOff>
      <xdr:row>33</xdr:row>
      <xdr:rowOff>104775</xdr:rowOff>
    </xdr:from>
    <xdr:to>
      <xdr:col>13</xdr:col>
      <xdr:colOff>877199</xdr:colOff>
      <xdr:row>36</xdr:row>
      <xdr:rowOff>50516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FEC689A-67E8-4A37-9617-B0746E1A0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772774" y="5743575"/>
          <a:ext cx="3534675" cy="412466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16</xdr:row>
      <xdr:rowOff>53253</xdr:rowOff>
    </xdr:from>
    <xdr:to>
      <xdr:col>5</xdr:col>
      <xdr:colOff>952500</xdr:colOff>
      <xdr:row>25</xdr:row>
      <xdr:rowOff>330758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29C077BD-88A7-4281-8932-71E30B0FC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19625" y="2558328"/>
          <a:ext cx="1619250" cy="17062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20</xdr:row>
      <xdr:rowOff>19294</xdr:rowOff>
    </xdr:from>
    <xdr:to>
      <xdr:col>3</xdr:col>
      <xdr:colOff>962025</xdr:colOff>
      <xdr:row>22</xdr:row>
      <xdr:rowOff>128331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6C52188-A998-4F03-A35A-73529EA40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1650" y="3133969"/>
          <a:ext cx="2609850" cy="413837"/>
        </a:xfrm>
        <a:prstGeom prst="rect">
          <a:avLst/>
        </a:prstGeom>
      </xdr:spPr>
    </xdr:pic>
    <xdr:clientData/>
  </xdr:twoCellAnchor>
  <xdr:twoCellAnchor editAs="oneCell">
    <xdr:from>
      <xdr:col>6</xdr:col>
      <xdr:colOff>495300</xdr:colOff>
      <xdr:row>20</xdr:row>
      <xdr:rowOff>41139</xdr:rowOff>
    </xdr:from>
    <xdr:to>
      <xdr:col>9</xdr:col>
      <xdr:colOff>342900</xdr:colOff>
      <xdr:row>22</xdr:row>
      <xdr:rowOff>66675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D031DBB-1A1F-4AA3-A700-33B765F40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0" y="3155814"/>
          <a:ext cx="2933700" cy="330336"/>
        </a:xfrm>
        <a:prstGeom prst="rect">
          <a:avLst/>
        </a:prstGeom>
      </xdr:spPr>
    </xdr:pic>
    <xdr:clientData/>
  </xdr:twoCellAnchor>
  <xdr:twoCellAnchor editAs="oneCell">
    <xdr:from>
      <xdr:col>9</xdr:col>
      <xdr:colOff>933450</xdr:colOff>
      <xdr:row>20</xdr:row>
      <xdr:rowOff>67415</xdr:rowOff>
    </xdr:from>
    <xdr:to>
      <xdr:col>11</xdr:col>
      <xdr:colOff>828675</xdr:colOff>
      <xdr:row>21</xdr:row>
      <xdr:rowOff>151845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DB92DC6-4F94-4A82-A760-3D34463C1B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4399" t="73504" r="34247" b="-4833"/>
        <a:stretch/>
      </xdr:blipFill>
      <xdr:spPr>
        <a:xfrm>
          <a:off x="10382250" y="3182090"/>
          <a:ext cx="1876425" cy="236830"/>
        </a:xfrm>
        <a:prstGeom prst="rect">
          <a:avLst/>
        </a:prstGeom>
      </xdr:spPr>
    </xdr:pic>
    <xdr:clientData/>
  </xdr:twoCellAnchor>
  <xdr:twoCellAnchor editAs="oneCell">
    <xdr:from>
      <xdr:col>12</xdr:col>
      <xdr:colOff>800100</xdr:colOff>
      <xdr:row>20</xdr:row>
      <xdr:rowOff>106417</xdr:rowOff>
    </xdr:from>
    <xdr:to>
      <xdr:col>16</xdr:col>
      <xdr:colOff>141654</xdr:colOff>
      <xdr:row>22</xdr:row>
      <xdr:rowOff>119000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7C617C6-CC12-47E1-BB44-A899C36CC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230225" y="3221092"/>
          <a:ext cx="3313479" cy="317383"/>
        </a:xfrm>
        <a:prstGeom prst="rect">
          <a:avLst/>
        </a:prstGeom>
      </xdr:spPr>
    </xdr:pic>
    <xdr:clientData/>
  </xdr:twoCellAnchor>
  <xdr:twoCellAnchor editAs="oneCell">
    <xdr:from>
      <xdr:col>5</xdr:col>
      <xdr:colOff>275723</xdr:colOff>
      <xdr:row>33</xdr:row>
      <xdr:rowOff>85725</xdr:rowOff>
    </xdr:from>
    <xdr:to>
      <xdr:col>10</xdr:col>
      <xdr:colOff>180974</xdr:colOff>
      <xdr:row>37</xdr:row>
      <xdr:rowOff>54707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647AE972-0E9F-4337-8400-46D8EE2EC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562098" y="5724525"/>
          <a:ext cx="5144001" cy="588107"/>
        </a:xfrm>
        <a:prstGeom prst="rect">
          <a:avLst/>
        </a:prstGeom>
      </xdr:spPr>
    </xdr:pic>
    <xdr:clientData/>
  </xdr:twoCellAnchor>
  <xdr:twoCellAnchor editAs="oneCell">
    <xdr:from>
      <xdr:col>10</xdr:col>
      <xdr:colOff>247649</xdr:colOff>
      <xdr:row>33</xdr:row>
      <xdr:rowOff>104775</xdr:rowOff>
    </xdr:from>
    <xdr:to>
      <xdr:col>13</xdr:col>
      <xdr:colOff>877199</xdr:colOff>
      <xdr:row>36</xdr:row>
      <xdr:rowOff>50516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AA3231C-2003-48CD-ACA8-4EFEA8789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772774" y="5743575"/>
          <a:ext cx="3534675" cy="412466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16</xdr:row>
      <xdr:rowOff>53253</xdr:rowOff>
    </xdr:from>
    <xdr:to>
      <xdr:col>5</xdr:col>
      <xdr:colOff>952500</xdr:colOff>
      <xdr:row>25</xdr:row>
      <xdr:rowOff>330758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1C0C7197-BC88-451C-B8AE-8A77B2F59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19625" y="2558328"/>
          <a:ext cx="1619250" cy="17062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20</xdr:row>
      <xdr:rowOff>19294</xdr:rowOff>
    </xdr:from>
    <xdr:to>
      <xdr:col>3</xdr:col>
      <xdr:colOff>962025</xdr:colOff>
      <xdr:row>22</xdr:row>
      <xdr:rowOff>128331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321D5CF-6EFF-489E-9789-6280D9B19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1650" y="3133969"/>
          <a:ext cx="2609850" cy="413837"/>
        </a:xfrm>
        <a:prstGeom prst="rect">
          <a:avLst/>
        </a:prstGeom>
      </xdr:spPr>
    </xdr:pic>
    <xdr:clientData/>
  </xdr:twoCellAnchor>
  <xdr:twoCellAnchor editAs="oneCell">
    <xdr:from>
      <xdr:col>6</xdr:col>
      <xdr:colOff>495300</xdr:colOff>
      <xdr:row>20</xdr:row>
      <xdr:rowOff>41139</xdr:rowOff>
    </xdr:from>
    <xdr:to>
      <xdr:col>9</xdr:col>
      <xdr:colOff>342900</xdr:colOff>
      <xdr:row>22</xdr:row>
      <xdr:rowOff>66675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FF03774-B4D4-4810-90A3-60E99F430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0" y="3155814"/>
          <a:ext cx="2933700" cy="330336"/>
        </a:xfrm>
        <a:prstGeom prst="rect">
          <a:avLst/>
        </a:prstGeom>
      </xdr:spPr>
    </xdr:pic>
    <xdr:clientData/>
  </xdr:twoCellAnchor>
  <xdr:twoCellAnchor editAs="oneCell">
    <xdr:from>
      <xdr:col>9</xdr:col>
      <xdr:colOff>933450</xdr:colOff>
      <xdr:row>20</xdr:row>
      <xdr:rowOff>67415</xdr:rowOff>
    </xdr:from>
    <xdr:to>
      <xdr:col>11</xdr:col>
      <xdr:colOff>828675</xdr:colOff>
      <xdr:row>21</xdr:row>
      <xdr:rowOff>151845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29FE876-9860-4DC7-924A-1040D0672B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4399" t="73504" r="34247" b="-4833"/>
        <a:stretch/>
      </xdr:blipFill>
      <xdr:spPr>
        <a:xfrm>
          <a:off x="10382250" y="3182090"/>
          <a:ext cx="1876425" cy="236830"/>
        </a:xfrm>
        <a:prstGeom prst="rect">
          <a:avLst/>
        </a:prstGeom>
      </xdr:spPr>
    </xdr:pic>
    <xdr:clientData/>
  </xdr:twoCellAnchor>
  <xdr:twoCellAnchor editAs="oneCell">
    <xdr:from>
      <xdr:col>12</xdr:col>
      <xdr:colOff>800100</xdr:colOff>
      <xdr:row>20</xdr:row>
      <xdr:rowOff>106417</xdr:rowOff>
    </xdr:from>
    <xdr:to>
      <xdr:col>16</xdr:col>
      <xdr:colOff>141654</xdr:colOff>
      <xdr:row>22</xdr:row>
      <xdr:rowOff>119000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BEC7B56B-2870-4BFF-9BC7-6AEDD0C44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230225" y="3221092"/>
          <a:ext cx="3313479" cy="317383"/>
        </a:xfrm>
        <a:prstGeom prst="rect">
          <a:avLst/>
        </a:prstGeom>
      </xdr:spPr>
    </xdr:pic>
    <xdr:clientData/>
  </xdr:twoCellAnchor>
  <xdr:twoCellAnchor editAs="oneCell">
    <xdr:from>
      <xdr:col>5</xdr:col>
      <xdr:colOff>275723</xdr:colOff>
      <xdr:row>33</xdr:row>
      <xdr:rowOff>85725</xdr:rowOff>
    </xdr:from>
    <xdr:to>
      <xdr:col>10</xdr:col>
      <xdr:colOff>180974</xdr:colOff>
      <xdr:row>37</xdr:row>
      <xdr:rowOff>54707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EE5F73F7-E829-4FCA-A5BB-47E135C90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562098" y="5724525"/>
          <a:ext cx="5144001" cy="588107"/>
        </a:xfrm>
        <a:prstGeom prst="rect">
          <a:avLst/>
        </a:prstGeom>
      </xdr:spPr>
    </xdr:pic>
    <xdr:clientData/>
  </xdr:twoCellAnchor>
  <xdr:twoCellAnchor editAs="oneCell">
    <xdr:from>
      <xdr:col>10</xdr:col>
      <xdr:colOff>247649</xdr:colOff>
      <xdr:row>33</xdr:row>
      <xdr:rowOff>104775</xdr:rowOff>
    </xdr:from>
    <xdr:to>
      <xdr:col>13</xdr:col>
      <xdr:colOff>877199</xdr:colOff>
      <xdr:row>36</xdr:row>
      <xdr:rowOff>50516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6C96C05-F4F9-45F6-B868-1B7E25D8A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772774" y="5743575"/>
          <a:ext cx="3534675" cy="412466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16</xdr:row>
      <xdr:rowOff>53253</xdr:rowOff>
    </xdr:from>
    <xdr:to>
      <xdr:col>5</xdr:col>
      <xdr:colOff>952500</xdr:colOff>
      <xdr:row>25</xdr:row>
      <xdr:rowOff>330758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C9BE30B9-03DF-44EF-93CB-DA63235F2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19625" y="2558328"/>
          <a:ext cx="1619250" cy="17062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20</xdr:row>
      <xdr:rowOff>19294</xdr:rowOff>
    </xdr:from>
    <xdr:to>
      <xdr:col>3</xdr:col>
      <xdr:colOff>962025</xdr:colOff>
      <xdr:row>22</xdr:row>
      <xdr:rowOff>128331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86BA605-E9A2-47FC-8F84-07E854D96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1650" y="3133969"/>
          <a:ext cx="2609850" cy="413837"/>
        </a:xfrm>
        <a:prstGeom prst="rect">
          <a:avLst/>
        </a:prstGeom>
      </xdr:spPr>
    </xdr:pic>
    <xdr:clientData/>
  </xdr:twoCellAnchor>
  <xdr:twoCellAnchor editAs="oneCell">
    <xdr:from>
      <xdr:col>6</xdr:col>
      <xdr:colOff>495300</xdr:colOff>
      <xdr:row>20</xdr:row>
      <xdr:rowOff>41139</xdr:rowOff>
    </xdr:from>
    <xdr:to>
      <xdr:col>9</xdr:col>
      <xdr:colOff>342900</xdr:colOff>
      <xdr:row>22</xdr:row>
      <xdr:rowOff>66675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4A87E57-FFEB-4B71-8DFB-04FE43575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0" y="3155814"/>
          <a:ext cx="2933700" cy="330336"/>
        </a:xfrm>
        <a:prstGeom prst="rect">
          <a:avLst/>
        </a:prstGeom>
      </xdr:spPr>
    </xdr:pic>
    <xdr:clientData/>
  </xdr:twoCellAnchor>
  <xdr:twoCellAnchor editAs="oneCell">
    <xdr:from>
      <xdr:col>9</xdr:col>
      <xdr:colOff>933450</xdr:colOff>
      <xdr:row>20</xdr:row>
      <xdr:rowOff>67415</xdr:rowOff>
    </xdr:from>
    <xdr:to>
      <xdr:col>11</xdr:col>
      <xdr:colOff>828675</xdr:colOff>
      <xdr:row>21</xdr:row>
      <xdr:rowOff>151845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D80497A-3C11-4B7D-BE00-DEC4F6F933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4399" t="73504" r="34247" b="-4833"/>
        <a:stretch/>
      </xdr:blipFill>
      <xdr:spPr>
        <a:xfrm>
          <a:off x="10382250" y="3182090"/>
          <a:ext cx="1876425" cy="236830"/>
        </a:xfrm>
        <a:prstGeom prst="rect">
          <a:avLst/>
        </a:prstGeom>
      </xdr:spPr>
    </xdr:pic>
    <xdr:clientData/>
  </xdr:twoCellAnchor>
  <xdr:twoCellAnchor editAs="oneCell">
    <xdr:from>
      <xdr:col>12</xdr:col>
      <xdr:colOff>800100</xdr:colOff>
      <xdr:row>20</xdr:row>
      <xdr:rowOff>106417</xdr:rowOff>
    </xdr:from>
    <xdr:to>
      <xdr:col>16</xdr:col>
      <xdr:colOff>141654</xdr:colOff>
      <xdr:row>22</xdr:row>
      <xdr:rowOff>119000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A5DC080-D3B1-4FDB-9D77-7A083CA96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230225" y="3221092"/>
          <a:ext cx="3313479" cy="317383"/>
        </a:xfrm>
        <a:prstGeom prst="rect">
          <a:avLst/>
        </a:prstGeom>
      </xdr:spPr>
    </xdr:pic>
    <xdr:clientData/>
  </xdr:twoCellAnchor>
  <xdr:twoCellAnchor editAs="oneCell">
    <xdr:from>
      <xdr:col>5</xdr:col>
      <xdr:colOff>275723</xdr:colOff>
      <xdr:row>33</xdr:row>
      <xdr:rowOff>85725</xdr:rowOff>
    </xdr:from>
    <xdr:to>
      <xdr:col>10</xdr:col>
      <xdr:colOff>180974</xdr:colOff>
      <xdr:row>37</xdr:row>
      <xdr:rowOff>54707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C15FA09C-1A4D-425B-868A-C9E9C06C0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562098" y="5724525"/>
          <a:ext cx="5144001" cy="588107"/>
        </a:xfrm>
        <a:prstGeom prst="rect">
          <a:avLst/>
        </a:prstGeom>
      </xdr:spPr>
    </xdr:pic>
    <xdr:clientData/>
  </xdr:twoCellAnchor>
  <xdr:twoCellAnchor editAs="oneCell">
    <xdr:from>
      <xdr:col>10</xdr:col>
      <xdr:colOff>247649</xdr:colOff>
      <xdr:row>33</xdr:row>
      <xdr:rowOff>104775</xdr:rowOff>
    </xdr:from>
    <xdr:to>
      <xdr:col>13</xdr:col>
      <xdr:colOff>877199</xdr:colOff>
      <xdr:row>36</xdr:row>
      <xdr:rowOff>50516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AC333E5B-D848-47A5-A114-C895C5C52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772774" y="5743575"/>
          <a:ext cx="3534675" cy="412466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16</xdr:row>
      <xdr:rowOff>53253</xdr:rowOff>
    </xdr:from>
    <xdr:to>
      <xdr:col>5</xdr:col>
      <xdr:colOff>952500</xdr:colOff>
      <xdr:row>25</xdr:row>
      <xdr:rowOff>330758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5A4F65-EA36-4AAE-88C1-95956EE06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19625" y="2558328"/>
          <a:ext cx="1619250" cy="17062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20</xdr:row>
      <xdr:rowOff>19294</xdr:rowOff>
    </xdr:from>
    <xdr:to>
      <xdr:col>3</xdr:col>
      <xdr:colOff>962025</xdr:colOff>
      <xdr:row>22</xdr:row>
      <xdr:rowOff>128331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D2FF75D-D05E-4DCF-880E-0094D2F31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1650" y="3133969"/>
          <a:ext cx="2609850" cy="413837"/>
        </a:xfrm>
        <a:prstGeom prst="rect">
          <a:avLst/>
        </a:prstGeom>
      </xdr:spPr>
    </xdr:pic>
    <xdr:clientData/>
  </xdr:twoCellAnchor>
  <xdr:twoCellAnchor editAs="oneCell">
    <xdr:from>
      <xdr:col>6</xdr:col>
      <xdr:colOff>495300</xdr:colOff>
      <xdr:row>20</xdr:row>
      <xdr:rowOff>41139</xdr:rowOff>
    </xdr:from>
    <xdr:to>
      <xdr:col>9</xdr:col>
      <xdr:colOff>342900</xdr:colOff>
      <xdr:row>22</xdr:row>
      <xdr:rowOff>66675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0660EB5-7154-449F-A29D-A15058F2D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0" y="3155814"/>
          <a:ext cx="2933700" cy="330336"/>
        </a:xfrm>
        <a:prstGeom prst="rect">
          <a:avLst/>
        </a:prstGeom>
      </xdr:spPr>
    </xdr:pic>
    <xdr:clientData/>
  </xdr:twoCellAnchor>
  <xdr:twoCellAnchor editAs="oneCell">
    <xdr:from>
      <xdr:col>9</xdr:col>
      <xdr:colOff>933450</xdr:colOff>
      <xdr:row>20</xdr:row>
      <xdr:rowOff>67415</xdr:rowOff>
    </xdr:from>
    <xdr:to>
      <xdr:col>11</xdr:col>
      <xdr:colOff>828675</xdr:colOff>
      <xdr:row>21</xdr:row>
      <xdr:rowOff>151845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DE7B6B6-B206-4371-BD34-2EB92F0F14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4399" t="73504" r="34247" b="-4833"/>
        <a:stretch/>
      </xdr:blipFill>
      <xdr:spPr>
        <a:xfrm>
          <a:off x="10382250" y="3182090"/>
          <a:ext cx="1876425" cy="236830"/>
        </a:xfrm>
        <a:prstGeom prst="rect">
          <a:avLst/>
        </a:prstGeom>
      </xdr:spPr>
    </xdr:pic>
    <xdr:clientData/>
  </xdr:twoCellAnchor>
  <xdr:twoCellAnchor editAs="oneCell">
    <xdr:from>
      <xdr:col>12</xdr:col>
      <xdr:colOff>800100</xdr:colOff>
      <xdr:row>20</xdr:row>
      <xdr:rowOff>106417</xdr:rowOff>
    </xdr:from>
    <xdr:to>
      <xdr:col>16</xdr:col>
      <xdr:colOff>141654</xdr:colOff>
      <xdr:row>22</xdr:row>
      <xdr:rowOff>119000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B8FCD0F-4011-445A-ACD0-7DD203EFB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230225" y="3221092"/>
          <a:ext cx="3313479" cy="317383"/>
        </a:xfrm>
        <a:prstGeom prst="rect">
          <a:avLst/>
        </a:prstGeom>
      </xdr:spPr>
    </xdr:pic>
    <xdr:clientData/>
  </xdr:twoCellAnchor>
  <xdr:twoCellAnchor editAs="oneCell">
    <xdr:from>
      <xdr:col>5</xdr:col>
      <xdr:colOff>275723</xdr:colOff>
      <xdr:row>33</xdr:row>
      <xdr:rowOff>85725</xdr:rowOff>
    </xdr:from>
    <xdr:to>
      <xdr:col>10</xdr:col>
      <xdr:colOff>180974</xdr:colOff>
      <xdr:row>37</xdr:row>
      <xdr:rowOff>54707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A3F71C37-00AA-4B23-BFEA-D43327EA5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562098" y="5724525"/>
          <a:ext cx="5144001" cy="588107"/>
        </a:xfrm>
        <a:prstGeom prst="rect">
          <a:avLst/>
        </a:prstGeom>
      </xdr:spPr>
    </xdr:pic>
    <xdr:clientData/>
  </xdr:twoCellAnchor>
  <xdr:twoCellAnchor editAs="oneCell">
    <xdr:from>
      <xdr:col>10</xdr:col>
      <xdr:colOff>247649</xdr:colOff>
      <xdr:row>33</xdr:row>
      <xdr:rowOff>104775</xdr:rowOff>
    </xdr:from>
    <xdr:to>
      <xdr:col>13</xdr:col>
      <xdr:colOff>877199</xdr:colOff>
      <xdr:row>36</xdr:row>
      <xdr:rowOff>50516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EBC2231-AB57-48F5-BE54-295A9BDA3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772774" y="5743575"/>
          <a:ext cx="3534675" cy="412466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16</xdr:row>
      <xdr:rowOff>53253</xdr:rowOff>
    </xdr:from>
    <xdr:to>
      <xdr:col>5</xdr:col>
      <xdr:colOff>952500</xdr:colOff>
      <xdr:row>25</xdr:row>
      <xdr:rowOff>330758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24292E61-6DF1-4CB6-97CA-4EDD4AF2C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19625" y="2558328"/>
          <a:ext cx="1619250" cy="17062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20</xdr:row>
      <xdr:rowOff>19294</xdr:rowOff>
    </xdr:from>
    <xdr:to>
      <xdr:col>3</xdr:col>
      <xdr:colOff>962025</xdr:colOff>
      <xdr:row>22</xdr:row>
      <xdr:rowOff>128331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4E46C5-55E8-4452-9B16-77C5B2B81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1650" y="3133969"/>
          <a:ext cx="2609850" cy="413837"/>
        </a:xfrm>
        <a:prstGeom prst="rect">
          <a:avLst/>
        </a:prstGeom>
      </xdr:spPr>
    </xdr:pic>
    <xdr:clientData/>
  </xdr:twoCellAnchor>
  <xdr:twoCellAnchor editAs="oneCell">
    <xdr:from>
      <xdr:col>6</xdr:col>
      <xdr:colOff>495300</xdr:colOff>
      <xdr:row>20</xdr:row>
      <xdr:rowOff>41139</xdr:rowOff>
    </xdr:from>
    <xdr:to>
      <xdr:col>9</xdr:col>
      <xdr:colOff>342900</xdr:colOff>
      <xdr:row>22</xdr:row>
      <xdr:rowOff>66675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5EC6C87-B8DE-4632-AC39-EFE03A587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0" y="3155814"/>
          <a:ext cx="2933700" cy="330336"/>
        </a:xfrm>
        <a:prstGeom prst="rect">
          <a:avLst/>
        </a:prstGeom>
      </xdr:spPr>
    </xdr:pic>
    <xdr:clientData/>
  </xdr:twoCellAnchor>
  <xdr:twoCellAnchor editAs="oneCell">
    <xdr:from>
      <xdr:col>9</xdr:col>
      <xdr:colOff>933450</xdr:colOff>
      <xdr:row>20</xdr:row>
      <xdr:rowOff>67415</xdr:rowOff>
    </xdr:from>
    <xdr:to>
      <xdr:col>11</xdr:col>
      <xdr:colOff>828675</xdr:colOff>
      <xdr:row>21</xdr:row>
      <xdr:rowOff>151845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12ADB2A-629F-4EEE-BB87-122A0A322B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4399" t="73504" r="34247" b="-4833"/>
        <a:stretch/>
      </xdr:blipFill>
      <xdr:spPr>
        <a:xfrm>
          <a:off x="10382250" y="3182090"/>
          <a:ext cx="1876425" cy="236830"/>
        </a:xfrm>
        <a:prstGeom prst="rect">
          <a:avLst/>
        </a:prstGeom>
      </xdr:spPr>
    </xdr:pic>
    <xdr:clientData/>
  </xdr:twoCellAnchor>
  <xdr:twoCellAnchor editAs="oneCell">
    <xdr:from>
      <xdr:col>12</xdr:col>
      <xdr:colOff>800100</xdr:colOff>
      <xdr:row>20</xdr:row>
      <xdr:rowOff>106417</xdr:rowOff>
    </xdr:from>
    <xdr:to>
      <xdr:col>16</xdr:col>
      <xdr:colOff>141654</xdr:colOff>
      <xdr:row>22</xdr:row>
      <xdr:rowOff>119000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27B87A1-F134-4CC8-9305-47F3A7A12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230225" y="3221092"/>
          <a:ext cx="3313479" cy="317383"/>
        </a:xfrm>
        <a:prstGeom prst="rect">
          <a:avLst/>
        </a:prstGeom>
      </xdr:spPr>
    </xdr:pic>
    <xdr:clientData/>
  </xdr:twoCellAnchor>
  <xdr:twoCellAnchor editAs="oneCell">
    <xdr:from>
      <xdr:col>5</xdr:col>
      <xdr:colOff>275723</xdr:colOff>
      <xdr:row>33</xdr:row>
      <xdr:rowOff>85725</xdr:rowOff>
    </xdr:from>
    <xdr:to>
      <xdr:col>10</xdr:col>
      <xdr:colOff>180974</xdr:colOff>
      <xdr:row>37</xdr:row>
      <xdr:rowOff>54707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98BEC826-51E3-482C-8629-F11AD2D68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562098" y="5724525"/>
          <a:ext cx="5144001" cy="588107"/>
        </a:xfrm>
        <a:prstGeom prst="rect">
          <a:avLst/>
        </a:prstGeom>
      </xdr:spPr>
    </xdr:pic>
    <xdr:clientData/>
  </xdr:twoCellAnchor>
  <xdr:twoCellAnchor editAs="oneCell">
    <xdr:from>
      <xdr:col>10</xdr:col>
      <xdr:colOff>247649</xdr:colOff>
      <xdr:row>33</xdr:row>
      <xdr:rowOff>104775</xdr:rowOff>
    </xdr:from>
    <xdr:to>
      <xdr:col>13</xdr:col>
      <xdr:colOff>877199</xdr:colOff>
      <xdr:row>36</xdr:row>
      <xdr:rowOff>50516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94EF73F0-A474-49E1-B8E4-8AEE1142E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772774" y="5743575"/>
          <a:ext cx="3534675" cy="412466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16</xdr:row>
      <xdr:rowOff>53253</xdr:rowOff>
    </xdr:from>
    <xdr:to>
      <xdr:col>5</xdr:col>
      <xdr:colOff>952500</xdr:colOff>
      <xdr:row>25</xdr:row>
      <xdr:rowOff>330758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F41E9F63-4FEE-4652-803A-C68358919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19625" y="2558328"/>
          <a:ext cx="1619250" cy="170625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20</xdr:row>
      <xdr:rowOff>19294</xdr:rowOff>
    </xdr:from>
    <xdr:to>
      <xdr:col>3</xdr:col>
      <xdr:colOff>962025</xdr:colOff>
      <xdr:row>22</xdr:row>
      <xdr:rowOff>128331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8B68869-1AED-4784-821A-9DB34A991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1650" y="3133969"/>
          <a:ext cx="2609850" cy="413837"/>
        </a:xfrm>
        <a:prstGeom prst="rect">
          <a:avLst/>
        </a:prstGeom>
      </xdr:spPr>
    </xdr:pic>
    <xdr:clientData/>
  </xdr:twoCellAnchor>
  <xdr:twoCellAnchor editAs="oneCell">
    <xdr:from>
      <xdr:col>6</xdr:col>
      <xdr:colOff>495300</xdr:colOff>
      <xdr:row>20</xdr:row>
      <xdr:rowOff>41139</xdr:rowOff>
    </xdr:from>
    <xdr:to>
      <xdr:col>9</xdr:col>
      <xdr:colOff>295275</xdr:colOff>
      <xdr:row>22</xdr:row>
      <xdr:rowOff>66675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106BD31-EF64-4CD8-AFF0-43B34F553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0" y="3155814"/>
          <a:ext cx="2933700" cy="330336"/>
        </a:xfrm>
        <a:prstGeom prst="rect">
          <a:avLst/>
        </a:prstGeom>
      </xdr:spPr>
    </xdr:pic>
    <xdr:clientData/>
  </xdr:twoCellAnchor>
  <xdr:twoCellAnchor editAs="oneCell">
    <xdr:from>
      <xdr:col>9</xdr:col>
      <xdr:colOff>933450</xdr:colOff>
      <xdr:row>20</xdr:row>
      <xdr:rowOff>67415</xdr:rowOff>
    </xdr:from>
    <xdr:to>
      <xdr:col>11</xdr:col>
      <xdr:colOff>828675</xdr:colOff>
      <xdr:row>21</xdr:row>
      <xdr:rowOff>151845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CB04296-4B96-4659-BB14-5C4690B434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4399" t="73504" r="34247" b="-4833"/>
        <a:stretch/>
      </xdr:blipFill>
      <xdr:spPr>
        <a:xfrm>
          <a:off x="10382250" y="3182090"/>
          <a:ext cx="1876425" cy="236830"/>
        </a:xfrm>
        <a:prstGeom prst="rect">
          <a:avLst/>
        </a:prstGeom>
      </xdr:spPr>
    </xdr:pic>
    <xdr:clientData/>
  </xdr:twoCellAnchor>
  <xdr:twoCellAnchor editAs="oneCell">
    <xdr:from>
      <xdr:col>12</xdr:col>
      <xdr:colOff>800100</xdr:colOff>
      <xdr:row>20</xdr:row>
      <xdr:rowOff>106417</xdr:rowOff>
    </xdr:from>
    <xdr:to>
      <xdr:col>16</xdr:col>
      <xdr:colOff>141654</xdr:colOff>
      <xdr:row>22</xdr:row>
      <xdr:rowOff>119000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5F01916-5433-4EC1-984E-CC0A384B8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230225" y="3221092"/>
          <a:ext cx="3313479" cy="317383"/>
        </a:xfrm>
        <a:prstGeom prst="rect">
          <a:avLst/>
        </a:prstGeom>
      </xdr:spPr>
    </xdr:pic>
    <xdr:clientData/>
  </xdr:twoCellAnchor>
  <xdr:twoCellAnchor editAs="oneCell">
    <xdr:from>
      <xdr:col>5</xdr:col>
      <xdr:colOff>275723</xdr:colOff>
      <xdr:row>33</xdr:row>
      <xdr:rowOff>85725</xdr:rowOff>
    </xdr:from>
    <xdr:to>
      <xdr:col>10</xdr:col>
      <xdr:colOff>133349</xdr:colOff>
      <xdr:row>37</xdr:row>
      <xdr:rowOff>54707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3C56ADBD-23AE-47E2-A502-C012C83A9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562098" y="5724525"/>
          <a:ext cx="5144001" cy="588107"/>
        </a:xfrm>
        <a:prstGeom prst="rect">
          <a:avLst/>
        </a:prstGeom>
      </xdr:spPr>
    </xdr:pic>
    <xdr:clientData/>
  </xdr:twoCellAnchor>
  <xdr:twoCellAnchor editAs="oneCell">
    <xdr:from>
      <xdr:col>10</xdr:col>
      <xdr:colOff>247649</xdr:colOff>
      <xdr:row>33</xdr:row>
      <xdr:rowOff>104775</xdr:rowOff>
    </xdr:from>
    <xdr:to>
      <xdr:col>13</xdr:col>
      <xdr:colOff>877199</xdr:colOff>
      <xdr:row>36</xdr:row>
      <xdr:rowOff>50516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8329FC8A-9ED6-4C1A-9462-71D542858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772774" y="5743575"/>
          <a:ext cx="3534675" cy="412466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16</xdr:row>
      <xdr:rowOff>53253</xdr:rowOff>
    </xdr:from>
    <xdr:to>
      <xdr:col>5</xdr:col>
      <xdr:colOff>952500</xdr:colOff>
      <xdr:row>25</xdr:row>
      <xdr:rowOff>330758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E7AEDA89-5897-4285-9B16-64281511C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19625" y="2558328"/>
          <a:ext cx="1619250" cy="170625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20</xdr:row>
      <xdr:rowOff>19294</xdr:rowOff>
    </xdr:from>
    <xdr:to>
      <xdr:col>3</xdr:col>
      <xdr:colOff>962025</xdr:colOff>
      <xdr:row>22</xdr:row>
      <xdr:rowOff>128331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2A88440-6E2B-4CCD-9058-06FFCB5F2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1650" y="3133969"/>
          <a:ext cx="2609850" cy="413837"/>
        </a:xfrm>
        <a:prstGeom prst="rect">
          <a:avLst/>
        </a:prstGeom>
      </xdr:spPr>
    </xdr:pic>
    <xdr:clientData/>
  </xdr:twoCellAnchor>
  <xdr:twoCellAnchor editAs="oneCell">
    <xdr:from>
      <xdr:col>6</xdr:col>
      <xdr:colOff>495300</xdr:colOff>
      <xdr:row>20</xdr:row>
      <xdr:rowOff>41139</xdr:rowOff>
    </xdr:from>
    <xdr:to>
      <xdr:col>9</xdr:col>
      <xdr:colOff>295275</xdr:colOff>
      <xdr:row>22</xdr:row>
      <xdr:rowOff>66675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985383D-699F-419D-84D1-9B34555F4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0" y="3155814"/>
          <a:ext cx="2933700" cy="330336"/>
        </a:xfrm>
        <a:prstGeom prst="rect">
          <a:avLst/>
        </a:prstGeom>
      </xdr:spPr>
    </xdr:pic>
    <xdr:clientData/>
  </xdr:twoCellAnchor>
  <xdr:twoCellAnchor editAs="oneCell">
    <xdr:from>
      <xdr:col>9</xdr:col>
      <xdr:colOff>933450</xdr:colOff>
      <xdr:row>20</xdr:row>
      <xdr:rowOff>67415</xdr:rowOff>
    </xdr:from>
    <xdr:to>
      <xdr:col>11</xdr:col>
      <xdr:colOff>828675</xdr:colOff>
      <xdr:row>21</xdr:row>
      <xdr:rowOff>151845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04B9EBB-7C16-44D1-B4C5-88C8067CCC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4399" t="73504" r="34247" b="-4833"/>
        <a:stretch/>
      </xdr:blipFill>
      <xdr:spPr>
        <a:xfrm>
          <a:off x="10429875" y="3182090"/>
          <a:ext cx="1876425" cy="236830"/>
        </a:xfrm>
        <a:prstGeom prst="rect">
          <a:avLst/>
        </a:prstGeom>
      </xdr:spPr>
    </xdr:pic>
    <xdr:clientData/>
  </xdr:twoCellAnchor>
  <xdr:twoCellAnchor editAs="oneCell">
    <xdr:from>
      <xdr:col>12</xdr:col>
      <xdr:colOff>800100</xdr:colOff>
      <xdr:row>20</xdr:row>
      <xdr:rowOff>106417</xdr:rowOff>
    </xdr:from>
    <xdr:to>
      <xdr:col>16</xdr:col>
      <xdr:colOff>141654</xdr:colOff>
      <xdr:row>22</xdr:row>
      <xdr:rowOff>119000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727CDA2-D88B-4218-A7B0-C363877D5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277850" y="3221092"/>
          <a:ext cx="3313479" cy="317383"/>
        </a:xfrm>
        <a:prstGeom prst="rect">
          <a:avLst/>
        </a:prstGeom>
      </xdr:spPr>
    </xdr:pic>
    <xdr:clientData/>
  </xdr:twoCellAnchor>
  <xdr:twoCellAnchor editAs="oneCell">
    <xdr:from>
      <xdr:col>5</xdr:col>
      <xdr:colOff>275723</xdr:colOff>
      <xdr:row>33</xdr:row>
      <xdr:rowOff>85725</xdr:rowOff>
    </xdr:from>
    <xdr:to>
      <xdr:col>10</xdr:col>
      <xdr:colOff>133349</xdr:colOff>
      <xdr:row>37</xdr:row>
      <xdr:rowOff>54707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43034BF4-6E86-44FC-BA6C-BA8F638B6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562098" y="5724525"/>
          <a:ext cx="5144001" cy="588107"/>
        </a:xfrm>
        <a:prstGeom prst="rect">
          <a:avLst/>
        </a:prstGeom>
      </xdr:spPr>
    </xdr:pic>
    <xdr:clientData/>
  </xdr:twoCellAnchor>
  <xdr:twoCellAnchor editAs="oneCell">
    <xdr:from>
      <xdr:col>10</xdr:col>
      <xdr:colOff>247649</xdr:colOff>
      <xdr:row>33</xdr:row>
      <xdr:rowOff>104775</xdr:rowOff>
    </xdr:from>
    <xdr:to>
      <xdr:col>13</xdr:col>
      <xdr:colOff>877199</xdr:colOff>
      <xdr:row>36</xdr:row>
      <xdr:rowOff>50516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27F7D331-466F-42DA-8905-182276DA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20399" y="5743575"/>
          <a:ext cx="3534675" cy="412466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16</xdr:row>
      <xdr:rowOff>53253</xdr:rowOff>
    </xdr:from>
    <xdr:to>
      <xdr:col>5</xdr:col>
      <xdr:colOff>952500</xdr:colOff>
      <xdr:row>25</xdr:row>
      <xdr:rowOff>330758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F1EB5BE0-9F9D-4BE0-8950-E4908D77E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19625" y="2558328"/>
          <a:ext cx="1619250" cy="170625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20</xdr:row>
      <xdr:rowOff>19294</xdr:rowOff>
    </xdr:from>
    <xdr:to>
      <xdr:col>3</xdr:col>
      <xdr:colOff>962025</xdr:colOff>
      <xdr:row>22</xdr:row>
      <xdr:rowOff>128331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544AF34-A0A0-4BCF-A753-BBEE4AB1E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1650" y="3133969"/>
          <a:ext cx="2609850" cy="413837"/>
        </a:xfrm>
        <a:prstGeom prst="rect">
          <a:avLst/>
        </a:prstGeom>
      </xdr:spPr>
    </xdr:pic>
    <xdr:clientData/>
  </xdr:twoCellAnchor>
  <xdr:twoCellAnchor editAs="oneCell">
    <xdr:from>
      <xdr:col>6</xdr:col>
      <xdr:colOff>495300</xdr:colOff>
      <xdr:row>19</xdr:row>
      <xdr:rowOff>136389</xdr:rowOff>
    </xdr:from>
    <xdr:to>
      <xdr:col>9</xdr:col>
      <xdr:colOff>295275</xdr:colOff>
      <xdr:row>22</xdr:row>
      <xdr:rowOff>9525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87FBF77-591D-4C94-9CCF-F4EDC4B4E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24675" y="3098664"/>
          <a:ext cx="2933700" cy="330336"/>
        </a:xfrm>
        <a:prstGeom prst="rect">
          <a:avLst/>
        </a:prstGeom>
      </xdr:spPr>
    </xdr:pic>
    <xdr:clientData/>
  </xdr:twoCellAnchor>
  <xdr:twoCellAnchor editAs="oneCell">
    <xdr:from>
      <xdr:col>9</xdr:col>
      <xdr:colOff>933450</xdr:colOff>
      <xdr:row>20</xdr:row>
      <xdr:rowOff>67415</xdr:rowOff>
    </xdr:from>
    <xdr:to>
      <xdr:col>11</xdr:col>
      <xdr:colOff>828675</xdr:colOff>
      <xdr:row>21</xdr:row>
      <xdr:rowOff>151845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A291EBB-84B5-4785-A284-987964E561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4399" t="73504" r="34247" b="-4833"/>
        <a:stretch/>
      </xdr:blipFill>
      <xdr:spPr>
        <a:xfrm>
          <a:off x="10429875" y="3182090"/>
          <a:ext cx="1876425" cy="236830"/>
        </a:xfrm>
        <a:prstGeom prst="rect">
          <a:avLst/>
        </a:prstGeom>
      </xdr:spPr>
    </xdr:pic>
    <xdr:clientData/>
  </xdr:twoCellAnchor>
  <xdr:twoCellAnchor editAs="oneCell">
    <xdr:from>
      <xdr:col>12</xdr:col>
      <xdr:colOff>800100</xdr:colOff>
      <xdr:row>20</xdr:row>
      <xdr:rowOff>106417</xdr:rowOff>
    </xdr:from>
    <xdr:to>
      <xdr:col>16</xdr:col>
      <xdr:colOff>141654</xdr:colOff>
      <xdr:row>22</xdr:row>
      <xdr:rowOff>119000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D2E50FC-A814-427D-92B6-ABDBF2C60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277850" y="3221092"/>
          <a:ext cx="3313479" cy="317383"/>
        </a:xfrm>
        <a:prstGeom prst="rect">
          <a:avLst/>
        </a:prstGeom>
      </xdr:spPr>
    </xdr:pic>
    <xdr:clientData/>
  </xdr:twoCellAnchor>
  <xdr:twoCellAnchor editAs="oneCell">
    <xdr:from>
      <xdr:col>5</xdr:col>
      <xdr:colOff>275723</xdr:colOff>
      <xdr:row>33</xdr:row>
      <xdr:rowOff>85725</xdr:rowOff>
    </xdr:from>
    <xdr:to>
      <xdr:col>10</xdr:col>
      <xdr:colOff>133349</xdr:colOff>
      <xdr:row>37</xdr:row>
      <xdr:rowOff>54707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4FACD988-EDC5-4A23-954A-F922BEBE2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562098" y="5724525"/>
          <a:ext cx="5144001" cy="588107"/>
        </a:xfrm>
        <a:prstGeom prst="rect">
          <a:avLst/>
        </a:prstGeom>
      </xdr:spPr>
    </xdr:pic>
    <xdr:clientData/>
  </xdr:twoCellAnchor>
  <xdr:twoCellAnchor editAs="oneCell">
    <xdr:from>
      <xdr:col>10</xdr:col>
      <xdr:colOff>247649</xdr:colOff>
      <xdr:row>33</xdr:row>
      <xdr:rowOff>104775</xdr:rowOff>
    </xdr:from>
    <xdr:to>
      <xdr:col>13</xdr:col>
      <xdr:colOff>877199</xdr:colOff>
      <xdr:row>36</xdr:row>
      <xdr:rowOff>50516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C8591D82-AABC-4D86-84FD-4AFFEBE0D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20399" y="5743575"/>
          <a:ext cx="3534675" cy="412466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16</xdr:row>
      <xdr:rowOff>53253</xdr:rowOff>
    </xdr:from>
    <xdr:to>
      <xdr:col>5</xdr:col>
      <xdr:colOff>885825</xdr:colOff>
      <xdr:row>25</xdr:row>
      <xdr:rowOff>330758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FDA0A4F3-F8C8-46E5-B7CB-DD512E4E2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19625" y="2558328"/>
          <a:ext cx="1619250" cy="1706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DB131-1BE9-4A20-83EB-758D6C49BDB3}">
  <dimension ref="A1:I26"/>
  <sheetViews>
    <sheetView topLeftCell="A13" workbookViewId="0">
      <selection activeCell="B10" sqref="B10"/>
    </sheetView>
  </sheetViews>
  <sheetFormatPr defaultColWidth="9.125" defaultRowHeight="12.75"/>
  <cols>
    <col min="1" max="1" width="20.875" style="1" bestFit="1" customWidth="1"/>
    <col min="2" max="2" width="20.25" style="1" bestFit="1" customWidth="1"/>
    <col min="3" max="3" width="19.25" style="1" customWidth="1"/>
    <col min="4" max="4" width="23.375" style="1" bestFit="1" customWidth="1"/>
    <col min="5" max="5" width="21.75" style="1" bestFit="1" customWidth="1"/>
    <col min="6" max="6" width="19.625" style="1" bestFit="1" customWidth="1"/>
    <col min="7" max="7" width="9.125" style="1"/>
    <col min="8" max="8" width="20.125" style="1" bestFit="1" customWidth="1"/>
    <col min="9" max="9" width="16.75" style="1" bestFit="1" customWidth="1"/>
    <col min="10" max="16384" width="9.125" style="1"/>
  </cols>
  <sheetData>
    <row r="1" spans="1:9" ht="15.75">
      <c r="A1" s="119" t="s">
        <v>32</v>
      </c>
      <c r="B1" s="120"/>
      <c r="C1" s="120"/>
      <c r="D1" s="120"/>
      <c r="E1" s="120"/>
      <c r="F1" s="120"/>
      <c r="G1" s="120"/>
      <c r="H1" s="120"/>
      <c r="I1" s="121"/>
    </row>
    <row r="2" spans="1:9">
      <c r="A2" s="3"/>
      <c r="I2" s="4"/>
    </row>
    <row r="3" spans="1:9">
      <c r="A3" s="5" t="s">
        <v>18</v>
      </c>
      <c r="I3" s="4"/>
    </row>
    <row r="4" spans="1:9">
      <c r="A4" s="113" t="s">
        <v>0</v>
      </c>
      <c r="B4" s="15" t="s">
        <v>1</v>
      </c>
      <c r="C4" s="15" t="s">
        <v>2</v>
      </c>
      <c r="D4" s="15" t="s">
        <v>3</v>
      </c>
      <c r="E4" s="15" t="s">
        <v>4</v>
      </c>
      <c r="F4" s="15" t="s">
        <v>5</v>
      </c>
      <c r="I4" s="4"/>
    </row>
    <row r="5" spans="1:9" ht="70.5" customHeight="1">
      <c r="A5" s="114"/>
      <c r="B5" s="16" t="s">
        <v>6</v>
      </c>
      <c r="C5" s="16" t="s">
        <v>7</v>
      </c>
      <c r="D5" s="16" t="s">
        <v>8</v>
      </c>
      <c r="E5" s="16" t="s">
        <v>9</v>
      </c>
      <c r="F5" s="16" t="s">
        <v>10</v>
      </c>
      <c r="I5" s="4"/>
    </row>
    <row r="6" spans="1:9">
      <c r="A6" s="25" t="s">
        <v>11</v>
      </c>
      <c r="B6" s="12">
        <v>1485358.62</v>
      </c>
      <c r="C6" s="12">
        <v>9000</v>
      </c>
      <c r="D6" s="12">
        <v>339637000</v>
      </c>
      <c r="E6" s="12">
        <v>13339000</v>
      </c>
      <c r="F6" s="13">
        <v>0</v>
      </c>
      <c r="I6" s="4"/>
    </row>
    <row r="7" spans="1:9">
      <c r="A7" s="25" t="s">
        <v>12</v>
      </c>
      <c r="B7" s="12">
        <v>14322827.08</v>
      </c>
      <c r="C7" s="12">
        <v>0</v>
      </c>
      <c r="D7" s="12">
        <v>1173402000</v>
      </c>
      <c r="E7" s="12">
        <v>13479000</v>
      </c>
      <c r="F7" s="13">
        <v>0</v>
      </c>
      <c r="I7" s="4"/>
    </row>
    <row r="8" spans="1:9">
      <c r="A8" s="25" t="s">
        <v>13</v>
      </c>
      <c r="B8" s="12">
        <v>0</v>
      </c>
      <c r="C8" s="12">
        <v>12000</v>
      </c>
      <c r="D8" s="12">
        <v>15761000</v>
      </c>
      <c r="E8" s="12">
        <v>21308000</v>
      </c>
      <c r="F8" s="13">
        <v>0</v>
      </c>
      <c r="H8" s="23">
        <v>2683571000</v>
      </c>
      <c r="I8" s="26" t="s">
        <v>19</v>
      </c>
    </row>
    <row r="9" spans="1:9">
      <c r="A9" s="25" t="s">
        <v>14</v>
      </c>
      <c r="B9" s="12">
        <v>81249952.609999999</v>
      </c>
      <c r="C9" s="12">
        <v>85000</v>
      </c>
      <c r="D9" s="12">
        <v>5538025000</v>
      </c>
      <c r="E9" s="12">
        <v>75525000</v>
      </c>
      <c r="F9" s="13">
        <f>H9+H8</f>
        <v>2766167000</v>
      </c>
      <c r="H9" s="24">
        <v>82596000</v>
      </c>
      <c r="I9" s="26" t="s">
        <v>20</v>
      </c>
    </row>
    <row r="10" spans="1:9">
      <c r="A10" s="25" t="s">
        <v>15</v>
      </c>
      <c r="B10" s="12">
        <v>2218025.38</v>
      </c>
      <c r="C10" s="12">
        <v>991000</v>
      </c>
      <c r="D10" s="12">
        <v>768817000</v>
      </c>
      <c r="E10" s="12">
        <v>130267000</v>
      </c>
      <c r="F10" s="13">
        <v>0</v>
      </c>
      <c r="I10" s="4"/>
    </row>
    <row r="11" spans="1:9">
      <c r="A11" s="27" t="s">
        <v>16</v>
      </c>
      <c r="B11" s="18">
        <v>47117751.399999999</v>
      </c>
      <c r="C11" s="18">
        <v>0</v>
      </c>
      <c r="D11" s="18">
        <v>4259841000</v>
      </c>
      <c r="E11" s="18">
        <v>14234000</v>
      </c>
      <c r="F11" s="19">
        <v>0</v>
      </c>
      <c r="I11" s="4"/>
    </row>
    <row r="12" spans="1:9">
      <c r="A12" s="3"/>
      <c r="I12" s="4"/>
    </row>
    <row r="13" spans="1:9">
      <c r="A13" s="5" t="s">
        <v>21</v>
      </c>
      <c r="I13" s="4"/>
    </row>
    <row r="14" spans="1:9">
      <c r="A14" s="115" t="s">
        <v>22</v>
      </c>
      <c r="B14" s="15" t="s">
        <v>23</v>
      </c>
      <c r="C14" s="15" t="s">
        <v>24</v>
      </c>
      <c r="D14" s="15" t="s">
        <v>25</v>
      </c>
      <c r="E14" s="15" t="s">
        <v>25</v>
      </c>
      <c r="F14" s="15" t="s">
        <v>23</v>
      </c>
      <c r="I14" s="4"/>
    </row>
    <row r="15" spans="1:9">
      <c r="A15" s="116"/>
      <c r="B15" s="20">
        <v>4.6199999999999998E-2</v>
      </c>
      <c r="C15" s="20">
        <v>0.37785111859357501</v>
      </c>
      <c r="D15" s="20">
        <v>0.10677498000000001</v>
      </c>
      <c r="E15" s="20">
        <v>0.10677498000000001</v>
      </c>
      <c r="F15" s="20">
        <v>4.6199999999999998E-2</v>
      </c>
      <c r="I15" s="4"/>
    </row>
    <row r="16" spans="1:9">
      <c r="A16" s="3"/>
      <c r="I16" s="4"/>
    </row>
    <row r="17" spans="1:9">
      <c r="A17" s="5" t="s">
        <v>33</v>
      </c>
      <c r="I17" s="4"/>
    </row>
    <row r="18" spans="1:9">
      <c r="A18" s="117" t="s">
        <v>26</v>
      </c>
      <c r="B18" s="17" t="s">
        <v>1</v>
      </c>
      <c r="C18" s="17" t="s">
        <v>2</v>
      </c>
      <c r="D18" s="17" t="s">
        <v>3</v>
      </c>
      <c r="E18" s="17" t="s">
        <v>4</v>
      </c>
      <c r="F18" s="17" t="s">
        <v>5</v>
      </c>
      <c r="I18" s="4"/>
    </row>
    <row r="19" spans="1:9" ht="75.75" customHeight="1">
      <c r="A19" s="118"/>
      <c r="B19" s="21" t="s">
        <v>27</v>
      </c>
      <c r="C19" s="21" t="s">
        <v>28</v>
      </c>
      <c r="D19" s="21" t="s">
        <v>29</v>
      </c>
      <c r="E19" s="21" t="s">
        <v>30</v>
      </c>
      <c r="F19" s="21" t="s">
        <v>31</v>
      </c>
      <c r="I19" s="4"/>
    </row>
    <row r="20" spans="1:9">
      <c r="A20" s="3" t="s">
        <v>11</v>
      </c>
      <c r="B20" s="14">
        <f t="shared" ref="B20:F25" si="0">(B$15+1)*B6</f>
        <v>1553982.1882440001</v>
      </c>
      <c r="C20" s="14">
        <f t="shared" si="0"/>
        <v>12400.660067342176</v>
      </c>
      <c r="D20" s="14">
        <f t="shared" si="0"/>
        <v>375901733.88225996</v>
      </c>
      <c r="E20" s="14">
        <f t="shared" si="0"/>
        <v>14763271.458219999</v>
      </c>
      <c r="F20" s="14">
        <f t="shared" si="0"/>
        <v>0</v>
      </c>
      <c r="I20" s="4"/>
    </row>
    <row r="21" spans="1:9">
      <c r="A21" s="3" t="s">
        <v>12</v>
      </c>
      <c r="B21" s="14">
        <f t="shared" si="0"/>
        <v>14984541.691096</v>
      </c>
      <c r="C21" s="14">
        <f t="shared" si="0"/>
        <v>0</v>
      </c>
      <c r="D21" s="14">
        <f t="shared" si="0"/>
        <v>1298691975.08196</v>
      </c>
      <c r="E21" s="14">
        <f t="shared" si="0"/>
        <v>14918219.955419999</v>
      </c>
      <c r="F21" s="14">
        <f t="shared" si="0"/>
        <v>0</v>
      </c>
      <c r="I21" s="4"/>
    </row>
    <row r="22" spans="1:9">
      <c r="A22" s="3" t="s">
        <v>13</v>
      </c>
      <c r="B22" s="14">
        <f t="shared" si="0"/>
        <v>0</v>
      </c>
      <c r="C22" s="14">
        <f t="shared" si="0"/>
        <v>16534.213423122903</v>
      </c>
      <c r="D22" s="14">
        <f t="shared" si="0"/>
        <v>17443880.45978</v>
      </c>
      <c r="E22" s="14">
        <f t="shared" si="0"/>
        <v>23583161.273839999</v>
      </c>
      <c r="F22" s="14">
        <f t="shared" si="0"/>
        <v>0</v>
      </c>
      <c r="I22" s="4"/>
    </row>
    <row r="23" spans="1:9">
      <c r="A23" s="3" t="s">
        <v>14</v>
      </c>
      <c r="B23" s="14">
        <f t="shared" si="0"/>
        <v>85003700.420581996</v>
      </c>
      <c r="C23" s="14">
        <f t="shared" si="0"/>
        <v>117117.34508045389</v>
      </c>
      <c r="D23" s="14">
        <f t="shared" si="0"/>
        <v>6129347508.6145</v>
      </c>
      <c r="E23" s="14">
        <f t="shared" si="0"/>
        <v>83589180.364500001</v>
      </c>
      <c r="F23" s="14">
        <f t="shared" si="0"/>
        <v>2893963915.4000001</v>
      </c>
      <c r="I23" s="4"/>
    </row>
    <row r="24" spans="1:9">
      <c r="A24" s="3" t="s">
        <v>15</v>
      </c>
      <c r="B24" s="14">
        <v>2218025.38</v>
      </c>
      <c r="C24" s="14">
        <f t="shared" si="0"/>
        <v>1365450.458526233</v>
      </c>
      <c r="D24" s="14">
        <f t="shared" si="0"/>
        <v>850907419.79865992</v>
      </c>
      <c r="E24" s="14">
        <f t="shared" si="0"/>
        <v>144176256.31966001</v>
      </c>
      <c r="F24" s="14">
        <f t="shared" si="0"/>
        <v>0</v>
      </c>
      <c r="I24" s="4"/>
    </row>
    <row r="25" spans="1:9">
      <c r="A25" s="28" t="s">
        <v>16</v>
      </c>
      <c r="B25" s="22">
        <f t="shared" si="0"/>
        <v>49294591.514679998</v>
      </c>
      <c r="C25" s="22">
        <f t="shared" si="0"/>
        <v>0</v>
      </c>
      <c r="D25" s="22">
        <f t="shared" si="0"/>
        <v>4714685437.5781803</v>
      </c>
      <c r="E25" s="22">
        <f t="shared" si="0"/>
        <v>15753835.06532</v>
      </c>
      <c r="F25" s="22">
        <f t="shared" si="0"/>
        <v>0</v>
      </c>
      <c r="I25" s="4"/>
    </row>
    <row r="26" spans="1:9" ht="13.5" thickBot="1">
      <c r="A26" s="29" t="s">
        <v>17</v>
      </c>
      <c r="B26" s="30">
        <f>SUM(B20:B25)</f>
        <v>153054841.19460198</v>
      </c>
      <c r="C26" s="30">
        <f t="shared" ref="C26:F26" si="1">SUM(C20:C25)</f>
        <v>1511502.677097152</v>
      </c>
      <c r="D26" s="30">
        <f t="shared" si="1"/>
        <v>13386977955.41534</v>
      </c>
      <c r="E26" s="30">
        <f t="shared" si="1"/>
        <v>296783924.43696004</v>
      </c>
      <c r="F26" s="30">
        <f t="shared" si="1"/>
        <v>2893963915.4000001</v>
      </c>
      <c r="G26" s="6"/>
      <c r="H26" s="6"/>
      <c r="I26" s="31"/>
    </row>
  </sheetData>
  <mergeCells count="4">
    <mergeCell ref="A4:A5"/>
    <mergeCell ref="A14:A15"/>
    <mergeCell ref="A18:A19"/>
    <mergeCell ref="A1:I1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11395-563B-488D-A4B7-43D16993EEAC}">
  <dimension ref="A1:Q84"/>
  <sheetViews>
    <sheetView workbookViewId="0">
      <selection activeCell="B9" sqref="B9:F15"/>
    </sheetView>
  </sheetViews>
  <sheetFormatPr defaultColWidth="9.125" defaultRowHeight="12"/>
  <cols>
    <col min="1" max="1" width="19.75" style="8" bestFit="1" customWidth="1"/>
    <col min="2" max="2" width="16.25" style="8" bestFit="1" customWidth="1"/>
    <col min="3" max="4" width="15.25" style="8" bestFit="1" customWidth="1"/>
    <col min="5" max="5" width="12.75" style="8" bestFit="1" customWidth="1"/>
    <col min="6" max="6" width="16.125" style="8" bestFit="1" customWidth="1"/>
    <col min="7" max="7" width="12.375" style="8" customWidth="1"/>
    <col min="8" max="8" width="18" style="8" customWidth="1"/>
    <col min="9" max="9" width="15.875" style="42" bestFit="1" customWidth="1"/>
    <col min="10" max="10" width="16.125" style="42" bestFit="1" customWidth="1"/>
    <col min="11" max="11" width="13.625" style="8" bestFit="1" customWidth="1"/>
    <col min="12" max="13" width="15" style="8" bestFit="1" customWidth="1"/>
    <col min="14" max="14" width="16" style="8" bestFit="1" customWidth="1"/>
    <col min="15" max="15" width="15" style="8" bestFit="1" customWidth="1"/>
    <col min="16" max="16" width="13.625" style="8" bestFit="1" customWidth="1"/>
    <col min="17" max="17" width="15" style="8" bestFit="1" customWidth="1"/>
    <col min="18" max="16384" width="9.125" style="8"/>
  </cols>
  <sheetData>
    <row r="1" spans="1:13" ht="15.75">
      <c r="A1" s="152" t="s">
        <v>115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</row>
    <row r="2" spans="1:13">
      <c r="A2" s="38" t="s">
        <v>34</v>
      </c>
      <c r="B2" s="153" t="s">
        <v>100</v>
      </c>
      <c r="C2" s="153"/>
      <c r="D2" s="153"/>
      <c r="E2" s="153"/>
      <c r="F2" s="153"/>
      <c r="G2" s="153"/>
      <c r="H2" s="153"/>
      <c r="I2" s="153"/>
      <c r="J2" s="39"/>
    </row>
    <row r="3" spans="1:13">
      <c r="A3" s="38" t="s">
        <v>35</v>
      </c>
      <c r="B3" s="40" t="s">
        <v>71</v>
      </c>
      <c r="C3" s="40"/>
      <c r="D3" s="40"/>
      <c r="E3" s="40"/>
      <c r="F3" s="40"/>
      <c r="G3" s="40"/>
      <c r="H3" s="40"/>
      <c r="I3" s="39"/>
      <c r="J3" s="39"/>
    </row>
    <row r="4" spans="1:13">
      <c r="A4" s="38" t="s">
        <v>81</v>
      </c>
      <c r="B4" s="40" t="s">
        <v>63</v>
      </c>
      <c r="C4" s="52">
        <f>IF(B4='Base Cenários'!M2,'Base Cenários'!N2,(IF('Cenário B.2.2'!B4='Base Cenários'!M3,'Base Cenários'!N3,'Base Cenários'!N4)))</f>
        <v>8.405E-2</v>
      </c>
      <c r="D4" s="40" t="s">
        <v>41</v>
      </c>
      <c r="E4" s="40"/>
      <c r="F4" s="40"/>
      <c r="G4" s="40"/>
      <c r="H4" s="40"/>
      <c r="I4" s="39"/>
      <c r="J4" s="39"/>
    </row>
    <row r="5" spans="1:13" ht="12.75" thickBot="1">
      <c r="A5" s="10"/>
      <c r="B5" s="10"/>
      <c r="C5" s="10"/>
      <c r="D5" s="10"/>
      <c r="E5" s="10"/>
      <c r="F5" s="10"/>
      <c r="H5" s="10"/>
      <c r="I5" s="41"/>
      <c r="J5" s="41"/>
      <c r="K5" s="10"/>
      <c r="L5" s="10"/>
      <c r="M5" s="10"/>
    </row>
    <row r="6" spans="1:13">
      <c r="A6" s="154" t="s">
        <v>46</v>
      </c>
      <c r="B6" s="154"/>
      <c r="C6" s="154"/>
      <c r="D6" s="154"/>
      <c r="E6" s="154"/>
      <c r="F6" s="154"/>
      <c r="H6" s="154" t="s">
        <v>47</v>
      </c>
      <c r="I6" s="154"/>
      <c r="J6" s="154"/>
      <c r="K6" s="154"/>
      <c r="L6" s="154"/>
      <c r="M6" s="154"/>
    </row>
    <row r="7" spans="1:13" s="11" customFormat="1">
      <c r="A7" s="155" t="s">
        <v>45</v>
      </c>
      <c r="B7" s="35" t="s">
        <v>1</v>
      </c>
      <c r="C7" s="35" t="s">
        <v>2</v>
      </c>
      <c r="D7" s="35" t="s">
        <v>3</v>
      </c>
      <c r="E7" s="35" t="s">
        <v>4</v>
      </c>
      <c r="F7" s="35" t="s">
        <v>5</v>
      </c>
      <c r="H7" s="155" t="s">
        <v>45</v>
      </c>
      <c r="I7" s="35" t="s">
        <v>1</v>
      </c>
      <c r="J7" s="35" t="s">
        <v>2</v>
      </c>
      <c r="K7" s="35" t="s">
        <v>3</v>
      </c>
      <c r="L7" s="35" t="s">
        <v>4</v>
      </c>
      <c r="M7" s="35" t="s">
        <v>5</v>
      </c>
    </row>
    <row r="8" spans="1:13">
      <c r="A8" s="156"/>
      <c r="B8" s="144" t="s">
        <v>39</v>
      </c>
      <c r="C8" s="144"/>
      <c r="D8" s="144"/>
      <c r="E8" s="144"/>
      <c r="F8" s="144"/>
      <c r="H8" s="156"/>
      <c r="I8" s="144" t="s">
        <v>48</v>
      </c>
      <c r="J8" s="144"/>
      <c r="K8" s="144"/>
      <c r="L8" s="144"/>
      <c r="M8" s="144"/>
    </row>
    <row r="9" spans="1:13">
      <c r="A9" s="8" t="s">
        <v>11</v>
      </c>
      <c r="B9" s="9">
        <f t="shared" ref="B9:B14" si="0">Q28</f>
        <v>0</v>
      </c>
      <c r="C9" s="9">
        <f>M42</f>
        <v>0</v>
      </c>
      <c r="D9" s="9">
        <f>O54</f>
        <v>0</v>
      </c>
      <c r="E9" s="9">
        <f>L66</f>
        <v>0</v>
      </c>
      <c r="F9" s="9">
        <f>O78</f>
        <v>0</v>
      </c>
      <c r="H9" s="8" t="s">
        <v>11</v>
      </c>
      <c r="I9" s="53">
        <f>IF(Renda!B20&gt;0,B9/Renda!B20,0)</f>
        <v>0</v>
      </c>
      <c r="J9" s="53">
        <f>IF(Renda!C20&gt;0,C9/Renda!C20,0)</f>
        <v>0</v>
      </c>
      <c r="K9" s="53">
        <f>IF(Renda!D20&gt;0,D9/Renda!D20,0)</f>
        <v>0</v>
      </c>
      <c r="L9" s="53">
        <f>IF(Renda!E20&gt;0,E9/Renda!E20,0)</f>
        <v>0</v>
      </c>
      <c r="M9" s="53">
        <f>IF(Renda!F20&gt;0,F9/Renda!F20,0)</f>
        <v>0</v>
      </c>
    </row>
    <row r="10" spans="1:13">
      <c r="A10" s="8" t="s">
        <v>12</v>
      </c>
      <c r="B10" s="9">
        <f t="shared" si="0"/>
        <v>10919.022912</v>
      </c>
      <c r="C10" s="9">
        <f t="shared" ref="C10:C14" si="1">M43</f>
        <v>0</v>
      </c>
      <c r="D10" s="9">
        <f t="shared" ref="D10:D14" si="2">O55</f>
        <v>0</v>
      </c>
      <c r="E10" s="9">
        <f t="shared" ref="E10:E14" si="3">L67</f>
        <v>0</v>
      </c>
      <c r="F10" s="9">
        <f t="shared" ref="F10:F14" si="4">O79</f>
        <v>0</v>
      </c>
      <c r="H10" s="8" t="s">
        <v>12</v>
      </c>
      <c r="I10" s="53">
        <f>IF(Renda!B21&gt;0,B10/Renda!B21,0)</f>
        <v>7.286858108238451E-4</v>
      </c>
      <c r="J10" s="53">
        <f>IF(Renda!C21&gt;0,C10/Renda!C21,0)</f>
        <v>0</v>
      </c>
      <c r="K10" s="53">
        <f>IF(Renda!D21&gt;0,D10/Renda!D21,0)</f>
        <v>0</v>
      </c>
      <c r="L10" s="53">
        <f>IF(Renda!E21&gt;0,E10/Renda!E21,0)</f>
        <v>0</v>
      </c>
      <c r="M10" s="53">
        <f>IF(Renda!F21&gt;0,F10/Renda!F21,0)</f>
        <v>0</v>
      </c>
    </row>
    <row r="11" spans="1:13">
      <c r="A11" s="8" t="s">
        <v>13</v>
      </c>
      <c r="B11" s="9">
        <f t="shared" si="0"/>
        <v>0</v>
      </c>
      <c r="C11" s="9">
        <f t="shared" si="1"/>
        <v>0</v>
      </c>
      <c r="D11" s="9">
        <f t="shared" si="2"/>
        <v>0</v>
      </c>
      <c r="E11" s="9">
        <f t="shared" si="3"/>
        <v>0</v>
      </c>
      <c r="F11" s="9">
        <f t="shared" si="4"/>
        <v>0</v>
      </c>
      <c r="H11" s="8" t="s">
        <v>13</v>
      </c>
      <c r="I11" s="53">
        <f>IF(Renda!B22&gt;0,B11/Renda!B22,0)</f>
        <v>0</v>
      </c>
      <c r="J11" s="53">
        <f>IF(Renda!C22&gt;0,C11/Renda!C22,0)</f>
        <v>0</v>
      </c>
      <c r="K11" s="53">
        <f>IF(Renda!D22&gt;0,D11/Renda!D22,0)</f>
        <v>0</v>
      </c>
      <c r="L11" s="53">
        <f>IF(Renda!E22&gt;0,E11/Renda!E22,0)</f>
        <v>0</v>
      </c>
      <c r="M11" s="53">
        <f>IF(Renda!F22&gt;0,F11/Renda!F22,0)</f>
        <v>0</v>
      </c>
    </row>
    <row r="12" spans="1:13">
      <c r="A12" s="8" t="s">
        <v>14</v>
      </c>
      <c r="B12" s="9">
        <f t="shared" si="0"/>
        <v>5955152.0959192235</v>
      </c>
      <c r="C12" s="9">
        <f t="shared" si="1"/>
        <v>0</v>
      </c>
      <c r="D12" s="9">
        <f t="shared" si="2"/>
        <v>1455928.4068511778</v>
      </c>
      <c r="E12" s="9">
        <f t="shared" si="3"/>
        <v>465.97320000000002</v>
      </c>
      <c r="F12" s="9">
        <f t="shared" si="4"/>
        <v>10928511.470291326</v>
      </c>
      <c r="H12" s="8" t="s">
        <v>14</v>
      </c>
      <c r="I12" s="53">
        <f>IF(Renda!B23&gt;0,B12/Renda!B23,0)</f>
        <v>7.0057562982014598E-2</v>
      </c>
      <c r="J12" s="53">
        <f>IF(Renda!C23&gt;0,C12/Renda!C23,0)</f>
        <v>0</v>
      </c>
      <c r="K12" s="53">
        <f>IF(Renda!D23&gt;0,D12/Renda!D23,0)</f>
        <v>2.3753399604198346E-4</v>
      </c>
      <c r="L12" s="53">
        <f>IF(Renda!E23&gt;0,E12/Renda!E23,0)</f>
        <v>5.5745635735159928E-6</v>
      </c>
      <c r="M12" s="53">
        <f>IF(Renda!F23&gt;0,F12/Renda!F23,0)</f>
        <v>3.7763122795471346E-3</v>
      </c>
    </row>
    <row r="13" spans="1:13">
      <c r="A13" s="8" t="s">
        <v>15</v>
      </c>
      <c r="B13" s="9">
        <f t="shared" si="0"/>
        <v>11493.924912</v>
      </c>
      <c r="C13" s="9">
        <f t="shared" si="1"/>
        <v>172741.84078079998</v>
      </c>
      <c r="D13" s="9">
        <f t="shared" si="2"/>
        <v>0</v>
      </c>
      <c r="E13" s="9">
        <f t="shared" si="3"/>
        <v>482.29991250000006</v>
      </c>
      <c r="F13" s="9">
        <f t="shared" si="4"/>
        <v>0</v>
      </c>
      <c r="H13" s="8" t="s">
        <v>15</v>
      </c>
      <c r="I13" s="53">
        <f>IF(Renda!B24&gt;0,B13/Renda!B24,0)</f>
        <v>5.182052926734319E-3</v>
      </c>
      <c r="J13" s="53">
        <f>IF(Renda!C24&gt;0,C13/Renda!C24,0)</f>
        <v>0.12650905032998769</v>
      </c>
      <c r="K13" s="53">
        <f>IF(Renda!D24&gt;0,D13/Renda!D24,0)</f>
        <v>0</v>
      </c>
      <c r="L13" s="53">
        <f>IF(Renda!E24&gt;0,E13/Renda!E24,0)</f>
        <v>3.3452104029575445E-6</v>
      </c>
      <c r="M13" s="53">
        <f>IF(Renda!F24&gt;0,F13/Renda!F24,0)</f>
        <v>0</v>
      </c>
    </row>
    <row r="14" spans="1:13">
      <c r="A14" s="8" t="s">
        <v>16</v>
      </c>
      <c r="B14" s="9">
        <f t="shared" si="0"/>
        <v>160815.24628842546</v>
      </c>
      <c r="C14" s="9">
        <f t="shared" si="1"/>
        <v>0</v>
      </c>
      <c r="D14" s="9">
        <f t="shared" si="2"/>
        <v>8216.3245599999991</v>
      </c>
      <c r="E14" s="9">
        <f t="shared" si="3"/>
        <v>631.00537499999996</v>
      </c>
      <c r="F14" s="9">
        <f t="shared" si="4"/>
        <v>0</v>
      </c>
      <c r="H14" s="8" t="s">
        <v>16</v>
      </c>
      <c r="I14" s="53">
        <f>IF(Renda!B25&gt;0,B14/Renda!B25,0)</f>
        <v>3.2623304372150939E-3</v>
      </c>
      <c r="J14" s="53">
        <f>IF(Renda!C25&gt;0,C14/Renda!C25,0)</f>
        <v>0</v>
      </c>
      <c r="K14" s="53">
        <f>IF(Renda!D25&gt;0,D14/Renda!D25,0)</f>
        <v>1.7427089609228576E-6</v>
      </c>
      <c r="L14" s="53">
        <f>IF(Renda!E25&gt;0,E14/Renda!E25,0)</f>
        <v>4.0054080316549425E-5</v>
      </c>
      <c r="M14" s="53">
        <f>IF(Renda!F25&gt;0,F14/Renda!F25,0)</f>
        <v>0</v>
      </c>
    </row>
    <row r="15" spans="1:13" ht="12.75" thickBot="1">
      <c r="A15" s="36" t="s">
        <v>17</v>
      </c>
      <c r="B15" s="37">
        <f>SUM(B9:B14)</f>
        <v>6138380.2900316492</v>
      </c>
      <c r="C15" s="37">
        <f t="shared" ref="C15:E15" si="5">SUM(C9:C14)</f>
        <v>172741.84078079998</v>
      </c>
      <c r="D15" s="37">
        <f t="shared" si="5"/>
        <v>1464144.7314111779</v>
      </c>
      <c r="E15" s="37">
        <f t="shared" si="5"/>
        <v>1579.2784875</v>
      </c>
      <c r="F15" s="37">
        <f>SUM(F9:F14)</f>
        <v>10928511.470291326</v>
      </c>
      <c r="H15" s="36" t="s">
        <v>17</v>
      </c>
      <c r="I15" s="54">
        <f>IF(B15&gt;0,B15/Renda!B26,0)</f>
        <v>4.01057571398672E-2</v>
      </c>
      <c r="J15" s="54">
        <f>IF(C15&gt;0,C15/Renda!C26,0)</f>
        <v>0.11428483945033527</v>
      </c>
      <c r="K15" s="54">
        <f>IF(D15&gt;0,D15/Renda!D26,0)</f>
        <v>1.0937081814039275E-4</v>
      </c>
      <c r="L15" s="54">
        <f>IF(E15&gt;0,E15/Renda!E26,0)</f>
        <v>5.3213073804321065E-6</v>
      </c>
      <c r="M15" s="54">
        <f>IF(F15&gt;0,F15/Renda!F26,0)</f>
        <v>3.7763122795471346E-3</v>
      </c>
    </row>
    <row r="16" spans="1:13">
      <c r="A16" s="43"/>
      <c r="B16" s="73"/>
      <c r="C16" s="73"/>
      <c r="D16" s="73"/>
      <c r="E16" s="73"/>
      <c r="F16" s="73"/>
      <c r="H16" s="43"/>
      <c r="I16" s="74"/>
      <c r="J16" s="74"/>
      <c r="K16" s="74"/>
      <c r="L16" s="74"/>
      <c r="M16" s="74"/>
    </row>
    <row r="17" spans="1:17">
      <c r="A17" s="43"/>
      <c r="B17" s="73"/>
      <c r="C17" s="73"/>
      <c r="D17" s="73"/>
      <c r="E17" s="73"/>
      <c r="F17" s="73"/>
      <c r="H17" s="43"/>
      <c r="I17" s="74"/>
      <c r="J17" s="74"/>
      <c r="K17" s="74"/>
      <c r="L17" s="74"/>
      <c r="M17" s="74"/>
    </row>
    <row r="18" spans="1:17">
      <c r="A18" s="43" t="s">
        <v>49</v>
      </c>
      <c r="B18" s="73"/>
      <c r="C18" s="73"/>
      <c r="D18" s="73"/>
      <c r="E18" s="73"/>
      <c r="F18" s="73"/>
      <c r="H18" s="43"/>
      <c r="I18" s="74"/>
      <c r="J18" s="74"/>
      <c r="K18" s="74"/>
      <c r="L18" s="74"/>
      <c r="M18" s="74"/>
    </row>
    <row r="19" spans="1:17">
      <c r="A19" s="43"/>
      <c r="B19" s="73"/>
      <c r="C19" s="73"/>
      <c r="D19" s="73"/>
      <c r="E19" s="73"/>
      <c r="F19" s="73"/>
      <c r="H19" s="43"/>
      <c r="I19" s="74"/>
      <c r="J19" s="74"/>
      <c r="K19" s="74"/>
      <c r="L19" s="74"/>
      <c r="M19" s="74"/>
    </row>
    <row r="20" spans="1:17">
      <c r="A20" s="43"/>
      <c r="B20" s="73"/>
      <c r="C20" s="73"/>
      <c r="D20" s="73"/>
      <c r="E20" s="73"/>
      <c r="F20" s="73"/>
      <c r="H20" s="43"/>
      <c r="I20" s="74"/>
      <c r="J20" s="74"/>
      <c r="K20" s="74"/>
      <c r="L20" s="74"/>
      <c r="M20" s="74"/>
    </row>
    <row r="24" spans="1:17" ht="12.75" thickBot="1">
      <c r="A24" s="46"/>
      <c r="B24" s="10"/>
      <c r="C24" s="10"/>
      <c r="D24" s="10"/>
      <c r="E24" s="10"/>
      <c r="F24" s="10"/>
      <c r="G24" s="10"/>
      <c r="H24" s="10"/>
      <c r="I24" s="41"/>
      <c r="J24" s="41"/>
      <c r="K24" s="10"/>
      <c r="L24" s="10"/>
      <c r="M24" s="10"/>
      <c r="N24" s="10"/>
      <c r="O24" s="10"/>
      <c r="P24" s="10"/>
      <c r="Q24" s="10"/>
    </row>
    <row r="25" spans="1:17" ht="15.75" customHeight="1" thickBot="1">
      <c r="A25" s="157" t="s">
        <v>42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</row>
    <row r="26" spans="1:17" ht="36.75" customHeight="1" thickBot="1">
      <c r="A26" s="158" t="s">
        <v>36</v>
      </c>
      <c r="B26" s="160" t="s">
        <v>37</v>
      </c>
      <c r="C26" s="160"/>
      <c r="D26" s="160"/>
      <c r="E26" s="160"/>
      <c r="F26" s="160"/>
      <c r="G26" s="161" t="s">
        <v>86</v>
      </c>
      <c r="H26" s="161"/>
      <c r="I26" s="161"/>
      <c r="J26" s="161"/>
      <c r="K26" s="162" t="s">
        <v>88</v>
      </c>
      <c r="L26" s="162"/>
      <c r="M26" s="83" t="s">
        <v>91</v>
      </c>
      <c r="N26" s="163" t="s">
        <v>82</v>
      </c>
      <c r="O26" s="163"/>
      <c r="P26" s="163"/>
      <c r="Q26" s="163"/>
    </row>
    <row r="27" spans="1:17" ht="24.75" thickBot="1">
      <c r="A27" s="159"/>
      <c r="B27" s="44" t="s">
        <v>38</v>
      </c>
      <c r="C27" s="44" t="s">
        <v>87</v>
      </c>
      <c r="D27" s="44" t="s">
        <v>89</v>
      </c>
      <c r="E27" s="44" t="s">
        <v>90</v>
      </c>
      <c r="F27" s="44" t="s">
        <v>97</v>
      </c>
      <c r="G27" s="80" t="s">
        <v>99</v>
      </c>
      <c r="H27" s="80" t="s">
        <v>94</v>
      </c>
      <c r="I27" s="80" t="s">
        <v>95</v>
      </c>
      <c r="J27" s="80" t="s">
        <v>98</v>
      </c>
      <c r="K27" s="91" t="s">
        <v>96</v>
      </c>
      <c r="L27" s="91" t="s">
        <v>98</v>
      </c>
      <c r="M27" s="84" t="s">
        <v>92</v>
      </c>
      <c r="N27" s="88" t="s">
        <v>83</v>
      </c>
      <c r="O27" s="88" t="s">
        <v>84</v>
      </c>
      <c r="P27" s="88" t="s">
        <v>85</v>
      </c>
      <c r="Q27" s="88" t="s">
        <v>93</v>
      </c>
    </row>
    <row r="28" spans="1:17">
      <c r="A28" s="8" t="s">
        <v>11</v>
      </c>
      <c r="B28" s="50">
        <f>IF(B$3='Base Cenários'!A$3,'Base Cenários'!B7,(IF(B$3='Base Cenários'!A$14,'Base Cenários'!B18,'Base Cenários'!B29)))</f>
        <v>0</v>
      </c>
      <c r="C28" s="45">
        <f>B28*24*60*60*365</f>
        <v>0</v>
      </c>
      <c r="D28" s="76">
        <v>1</v>
      </c>
      <c r="E28" s="78">
        <v>1</v>
      </c>
      <c r="F28" s="92">
        <f>C$4</f>
        <v>8.405E-2</v>
      </c>
      <c r="G28" s="81">
        <v>0.5</v>
      </c>
      <c r="H28" s="81">
        <f t="shared" ref="H28:H33" si="6">C28</f>
        <v>0</v>
      </c>
      <c r="I28" s="81">
        <v>0</v>
      </c>
      <c r="J28" s="95">
        <f>C$4</f>
        <v>8.405E-2</v>
      </c>
      <c r="K28" s="47">
        <f>IF(B$3='Base Cenários'!A$3,'Base Cenários'!I7,(IF(B$3='Base Cenários'!A$14,'Base Cenários'!I18,'Base Cenários'!I29)))</f>
        <v>0</v>
      </c>
      <c r="L28" s="47">
        <f>C$4</f>
        <v>8.405E-2</v>
      </c>
      <c r="M28" s="85">
        <v>1</v>
      </c>
      <c r="N28" s="89">
        <f>C28*D28*E28*F28</f>
        <v>0</v>
      </c>
      <c r="O28" s="89">
        <f>IF(H28&gt;0,(H28-I28)*J28*(C28/H28)*G28,0)</f>
        <v>0</v>
      </c>
      <c r="P28" s="89">
        <f>K28*L28</f>
        <v>0</v>
      </c>
      <c r="Q28" s="89">
        <f>(N28+O28+P28)*M28</f>
        <v>0</v>
      </c>
    </row>
    <row r="29" spans="1:17">
      <c r="A29" s="8" t="s">
        <v>12</v>
      </c>
      <c r="B29" s="50">
        <f>IF(B$3='Base Cenários'!A$3,'Base Cenários'!B8,(IF(B$3='Base Cenários'!A$14,'Base Cenários'!B19,'Base Cenários'!B30)))</f>
        <v>2.7463013698630135E-3</v>
      </c>
      <c r="C29" s="45">
        <f t="shared" ref="C29:C33" si="7">B29*24*60*60*365</f>
        <v>86607.360000000001</v>
      </c>
      <c r="D29" s="76">
        <v>1</v>
      </c>
      <c r="E29" s="78">
        <v>1</v>
      </c>
      <c r="F29" s="92">
        <f t="shared" ref="F29:F33" si="8">C$4</f>
        <v>8.405E-2</v>
      </c>
      <c r="G29" s="81">
        <v>0.5</v>
      </c>
      <c r="H29" s="81">
        <f t="shared" si="6"/>
        <v>86607.360000000001</v>
      </c>
      <c r="I29" s="81">
        <v>0</v>
      </c>
      <c r="J29" s="95">
        <f t="shared" ref="J29:J33" si="9">C$4</f>
        <v>8.405E-2</v>
      </c>
      <c r="K29" s="47">
        <f>IF(B$3='Base Cenários'!A$3,'Base Cenários'!I8,(IF(B$3='Base Cenários'!A$14,'Base Cenários'!I19,'Base Cenários'!I30)))</f>
        <v>0</v>
      </c>
      <c r="L29" s="47">
        <f t="shared" ref="L29:L33" si="10">C$4</f>
        <v>8.405E-2</v>
      </c>
      <c r="M29" s="85">
        <v>1</v>
      </c>
      <c r="N29" s="89">
        <f>C29*D29*E29*F29</f>
        <v>7279.3486080000002</v>
      </c>
      <c r="O29" s="89">
        <f t="shared" ref="O29:O33" si="11">IF(H29&gt;0,(H29-I29)*J29*(C29/H29)*G29,0)</f>
        <v>3639.6743040000001</v>
      </c>
      <c r="P29" s="89">
        <f t="shared" ref="P29:P33" si="12">K29*L29</f>
        <v>0</v>
      </c>
      <c r="Q29" s="89">
        <f t="shared" ref="Q29:Q33" si="13">(N29+O29+P29)*M29</f>
        <v>10919.022912</v>
      </c>
    </row>
    <row r="30" spans="1:17">
      <c r="A30" s="8" t="s">
        <v>13</v>
      </c>
      <c r="B30" s="50">
        <f>IF(B$3='Base Cenários'!A$3,'Base Cenários'!B9,(IF(B$3='Base Cenários'!A$14,'Base Cenários'!B20,'Base Cenários'!B31)))</f>
        <v>0</v>
      </c>
      <c r="C30" s="45">
        <f t="shared" si="7"/>
        <v>0</v>
      </c>
      <c r="D30" s="76">
        <v>1</v>
      </c>
      <c r="E30" s="78">
        <v>0.85</v>
      </c>
      <c r="F30" s="92">
        <f t="shared" si="8"/>
        <v>8.405E-2</v>
      </c>
      <c r="G30" s="81">
        <v>0.5</v>
      </c>
      <c r="H30" s="81">
        <f t="shared" si="6"/>
        <v>0</v>
      </c>
      <c r="I30" s="81">
        <v>0</v>
      </c>
      <c r="J30" s="95">
        <f t="shared" si="9"/>
        <v>8.405E-2</v>
      </c>
      <c r="K30" s="47">
        <f>IF(B$3='Base Cenários'!A$3,'Base Cenários'!I9,(IF(B$3='Base Cenários'!A$14,'Base Cenários'!I20,'Base Cenários'!I31)))</f>
        <v>0</v>
      </c>
      <c r="L30" s="47">
        <f t="shared" si="10"/>
        <v>8.405E-2</v>
      </c>
      <c r="M30" s="85">
        <v>1</v>
      </c>
      <c r="N30" s="89">
        <f t="shared" ref="N30:N33" si="14">C30*D30*E30*F30</f>
        <v>0</v>
      </c>
      <c r="O30" s="89">
        <f t="shared" si="11"/>
        <v>0</v>
      </c>
      <c r="P30" s="89">
        <f t="shared" si="12"/>
        <v>0</v>
      </c>
      <c r="Q30" s="89">
        <f t="shared" si="13"/>
        <v>0</v>
      </c>
    </row>
    <row r="31" spans="1:17">
      <c r="A31" s="8" t="s">
        <v>14</v>
      </c>
      <c r="B31" s="50">
        <f>IF(B$3='Base Cenários'!A$3,'Base Cenários'!B10,(IF(B$3='Base Cenários'!A$14,'Base Cenários'!B21,'Base Cenários'!B32)))</f>
        <v>1.5378496004566211</v>
      </c>
      <c r="C31" s="45">
        <f t="shared" si="7"/>
        <v>48497625.000000007</v>
      </c>
      <c r="D31" s="76">
        <v>1</v>
      </c>
      <c r="E31" s="78">
        <v>0.95</v>
      </c>
      <c r="F31" s="92">
        <f t="shared" si="8"/>
        <v>8.405E-2</v>
      </c>
      <c r="G31" s="81">
        <v>0.5</v>
      </c>
      <c r="H31" s="81">
        <f t="shared" si="6"/>
        <v>48497625.000000007</v>
      </c>
      <c r="I31" s="81">
        <v>0</v>
      </c>
      <c r="J31" s="95">
        <f t="shared" si="9"/>
        <v>8.405E-2</v>
      </c>
      <c r="K31" s="47">
        <f>IF(B$3='Base Cenários'!A$3,'Base Cenários'!I10,(IF(B$3='Base Cenários'!A$14,'Base Cenários'!I21,'Base Cenários'!I32)))</f>
        <v>530937.45516624604</v>
      </c>
      <c r="L31" s="47">
        <f t="shared" si="10"/>
        <v>8.405E-2</v>
      </c>
      <c r="M31" s="85">
        <v>1</v>
      </c>
      <c r="N31" s="89">
        <f t="shared" si="14"/>
        <v>3872414.1121875006</v>
      </c>
      <c r="O31" s="89">
        <f t="shared" si="11"/>
        <v>2038112.6906250003</v>
      </c>
      <c r="P31" s="89">
        <f t="shared" si="12"/>
        <v>44625.29310672298</v>
      </c>
      <c r="Q31" s="89">
        <f t="shared" si="13"/>
        <v>5955152.0959192235</v>
      </c>
    </row>
    <row r="32" spans="1:17">
      <c r="A32" s="8" t="s">
        <v>15</v>
      </c>
      <c r="B32" s="50">
        <f>IF(B$3='Base Cenários'!A$3,'Base Cenários'!B11,(IF(B$3='Base Cenários'!A$14,'Base Cenários'!B22,'Base Cenários'!B33)))</f>
        <v>2.5337899543378998E-3</v>
      </c>
      <c r="C32" s="45">
        <f t="shared" si="7"/>
        <v>79905.600000000006</v>
      </c>
      <c r="D32" s="76">
        <v>1</v>
      </c>
      <c r="E32" s="78">
        <v>0.9</v>
      </c>
      <c r="F32" s="92">
        <f t="shared" si="8"/>
        <v>8.405E-2</v>
      </c>
      <c r="G32" s="81">
        <v>0.5</v>
      </c>
      <c r="H32" s="81">
        <f t="shared" si="6"/>
        <v>79905.600000000006</v>
      </c>
      <c r="I32" s="81">
        <v>0</v>
      </c>
      <c r="J32" s="95">
        <f t="shared" si="9"/>
        <v>8.405E-2</v>
      </c>
      <c r="K32" s="47">
        <f>IF(B$3='Base Cenários'!A$3,'Base Cenários'!I11,(IF(B$3='Base Cenários'!A$14,'Base Cenários'!I22,'Base Cenários'!I33)))</f>
        <v>24883.200000000001</v>
      </c>
      <c r="L32" s="47">
        <f t="shared" si="10"/>
        <v>8.405E-2</v>
      </c>
      <c r="M32" s="85">
        <v>1</v>
      </c>
      <c r="N32" s="89">
        <f t="shared" si="14"/>
        <v>6044.4591120000005</v>
      </c>
      <c r="O32" s="89">
        <f t="shared" si="11"/>
        <v>3358.0328400000003</v>
      </c>
      <c r="P32" s="89">
        <f t="shared" si="12"/>
        <v>2091.4329600000001</v>
      </c>
      <c r="Q32" s="89">
        <f t="shared" si="13"/>
        <v>11493.924912</v>
      </c>
    </row>
    <row r="33" spans="1:17" ht="12.75" thickBot="1">
      <c r="A33" s="10" t="s">
        <v>16</v>
      </c>
      <c r="B33" s="51">
        <f>IF(B$3='Base Cenários'!A$3,'Base Cenários'!B12,(IF(B$3='Base Cenários'!A$14,'Base Cenários'!B23,'Base Cenários'!B34)))</f>
        <v>3.9222222222222193E-2</v>
      </c>
      <c r="C33" s="51">
        <f t="shared" si="7"/>
        <v>1236911.9999999991</v>
      </c>
      <c r="D33" s="77">
        <v>1</v>
      </c>
      <c r="E33" s="79">
        <v>1</v>
      </c>
      <c r="F33" s="93">
        <f t="shared" si="8"/>
        <v>8.405E-2</v>
      </c>
      <c r="G33" s="82">
        <v>0.5</v>
      </c>
      <c r="H33" s="82">
        <f t="shared" si="6"/>
        <v>1236911.9999999991</v>
      </c>
      <c r="I33" s="82">
        <v>0</v>
      </c>
      <c r="J33" s="96">
        <f t="shared" si="9"/>
        <v>8.405E-2</v>
      </c>
      <c r="K33" s="48">
        <f>IF(B$3='Base Cenários'!A$3,'Base Cenários'!I12,(IF(B$3='Base Cenários'!A$14,'Base Cenários'!I23,'Base Cenários'!I34)))</f>
        <v>57960.331807561641</v>
      </c>
      <c r="L33" s="48">
        <f t="shared" si="10"/>
        <v>8.405E-2</v>
      </c>
      <c r="M33" s="86">
        <v>1</v>
      </c>
      <c r="N33" s="90">
        <f t="shared" si="14"/>
        <v>103962.45359999992</v>
      </c>
      <c r="O33" s="90">
        <f t="shared" si="11"/>
        <v>51981.22679999996</v>
      </c>
      <c r="P33" s="90">
        <f t="shared" si="12"/>
        <v>4871.5658884255563</v>
      </c>
      <c r="Q33" s="90">
        <f t="shared" si="13"/>
        <v>160815.24628842546</v>
      </c>
    </row>
    <row r="34" spans="1:17" ht="12.75" thickBot="1">
      <c r="I34" s="8"/>
      <c r="M34" s="42"/>
      <c r="P34" s="46" t="s">
        <v>40</v>
      </c>
      <c r="Q34" s="94">
        <f>SUM(Q28:Q33)</f>
        <v>6138380.2900316492</v>
      </c>
    </row>
    <row r="35" spans="1:17">
      <c r="I35" s="8"/>
      <c r="M35" s="42"/>
      <c r="P35" s="43"/>
      <c r="Q35" s="73"/>
    </row>
    <row r="36" spans="1:17">
      <c r="I36" s="8"/>
      <c r="M36" s="42"/>
      <c r="P36" s="43"/>
      <c r="Q36" s="73"/>
    </row>
    <row r="37" spans="1:17">
      <c r="I37" s="8"/>
      <c r="M37" s="42"/>
      <c r="P37" s="43"/>
      <c r="Q37" s="73"/>
    </row>
    <row r="38" spans="1:17" ht="12.75" thickBot="1">
      <c r="A38" s="10"/>
      <c r="B38" s="10"/>
      <c r="C38" s="10"/>
      <c r="D38" s="10"/>
      <c r="E38" s="10"/>
      <c r="F38" s="10"/>
      <c r="G38" s="10"/>
      <c r="H38" s="10"/>
      <c r="I38" s="10"/>
      <c r="J38" s="41"/>
      <c r="K38" s="10"/>
      <c r="L38" s="10"/>
      <c r="M38" s="41"/>
    </row>
    <row r="39" spans="1:17" ht="15.75" customHeight="1" thickBot="1">
      <c r="A39" s="157" t="s">
        <v>43</v>
      </c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</row>
    <row r="40" spans="1:17" ht="15.75" customHeight="1" thickBot="1">
      <c r="A40" s="158" t="s">
        <v>36</v>
      </c>
      <c r="B40" s="160" t="s">
        <v>37</v>
      </c>
      <c r="C40" s="160"/>
      <c r="D40" s="160"/>
      <c r="E40" s="160"/>
      <c r="F40" s="161" t="s">
        <v>86</v>
      </c>
      <c r="G40" s="161"/>
      <c r="H40" s="161"/>
      <c r="I40" s="83" t="s">
        <v>91</v>
      </c>
      <c r="J40" s="97" t="s">
        <v>101</v>
      </c>
      <c r="K40" s="163" t="s">
        <v>82</v>
      </c>
      <c r="L40" s="163"/>
      <c r="M40" s="163"/>
    </row>
    <row r="41" spans="1:17" ht="12.75" thickBot="1">
      <c r="A41" s="159"/>
      <c r="B41" s="44" t="s">
        <v>38</v>
      </c>
      <c r="C41" s="44" t="s">
        <v>87</v>
      </c>
      <c r="D41" s="44" t="s">
        <v>89</v>
      </c>
      <c r="E41" s="44" t="s">
        <v>97</v>
      </c>
      <c r="F41" s="80" t="s">
        <v>94</v>
      </c>
      <c r="G41" s="80" t="s">
        <v>95</v>
      </c>
      <c r="H41" s="80" t="s">
        <v>98</v>
      </c>
      <c r="I41" s="84" t="s">
        <v>92</v>
      </c>
      <c r="J41" s="87" t="s">
        <v>102</v>
      </c>
      <c r="K41" s="88" t="s">
        <v>83</v>
      </c>
      <c r="L41" s="88" t="s">
        <v>84</v>
      </c>
      <c r="M41" s="88" t="s">
        <v>93</v>
      </c>
    </row>
    <row r="42" spans="1:17">
      <c r="A42" s="8" t="s">
        <v>11</v>
      </c>
      <c r="B42" s="50">
        <f>IF(B$3='Base Cenários'!A$3,'Base Cenários'!C7,(IF(B$3='Base Cenários'!A$14,'Base Cenários'!C18,'Base Cenários'!C29)))</f>
        <v>0</v>
      </c>
      <c r="C42" s="45">
        <f>B42*24*60*60*365</f>
        <v>0</v>
      </c>
      <c r="D42" s="76">
        <v>1</v>
      </c>
      <c r="E42" s="92">
        <f>C$4</f>
        <v>8.405E-2</v>
      </c>
      <c r="F42" s="81">
        <f t="shared" ref="F42:F47" si="15">C42</f>
        <v>0</v>
      </c>
      <c r="G42" s="81">
        <v>0</v>
      </c>
      <c r="H42" s="95">
        <f>C$4</f>
        <v>8.405E-2</v>
      </c>
      <c r="I42" s="85">
        <v>1</v>
      </c>
      <c r="J42" s="98">
        <v>0.1</v>
      </c>
      <c r="K42" s="89">
        <f t="shared" ref="K42:K47" si="16">C42*D42*E42</f>
        <v>0</v>
      </c>
      <c r="L42" s="89">
        <f t="shared" ref="L42:L47" si="17">IF(F42&gt;0,(F42-G42)*H42*(C42/F42),0)</f>
        <v>0</v>
      </c>
      <c r="M42" s="89">
        <f>(K42+L42)*I42*J42</f>
        <v>0</v>
      </c>
    </row>
    <row r="43" spans="1:17">
      <c r="A43" s="8" t="s">
        <v>12</v>
      </c>
      <c r="B43" s="50">
        <f>IF(B$3='Base Cenários'!A$3,'Base Cenários'!C8,(IF(B$3='Base Cenários'!A$14,'Base Cenários'!C19,'Base Cenários'!C30)))</f>
        <v>0</v>
      </c>
      <c r="C43" s="45">
        <f t="shared" ref="C43:C47" si="18">B43*24*60*60*365</f>
        <v>0</v>
      </c>
      <c r="D43" s="76">
        <v>1</v>
      </c>
      <c r="E43" s="92">
        <f t="shared" ref="E43:E47" si="19">C$4</f>
        <v>8.405E-2</v>
      </c>
      <c r="F43" s="81">
        <f t="shared" si="15"/>
        <v>0</v>
      </c>
      <c r="G43" s="81">
        <v>0</v>
      </c>
      <c r="H43" s="95">
        <f t="shared" ref="H43:H47" si="20">C$4</f>
        <v>8.405E-2</v>
      </c>
      <c r="I43" s="85">
        <v>1</v>
      </c>
      <c r="J43" s="98">
        <v>0.1</v>
      </c>
      <c r="K43" s="89">
        <f t="shared" si="16"/>
        <v>0</v>
      </c>
      <c r="L43" s="89">
        <f t="shared" si="17"/>
        <v>0</v>
      </c>
      <c r="M43" s="89">
        <f t="shared" ref="M43:M47" si="21">(K43+L43)*I43*J43</f>
        <v>0</v>
      </c>
    </row>
    <row r="44" spans="1:17">
      <c r="A44" s="8" t="s">
        <v>13</v>
      </c>
      <c r="B44" s="50">
        <f>IF(B$3='Base Cenários'!A$3,'Base Cenários'!C9,(IF(B$3='Base Cenários'!A$14,'Base Cenários'!C20,'Base Cenários'!C31)))</f>
        <v>0</v>
      </c>
      <c r="C44" s="45">
        <f t="shared" si="18"/>
        <v>0</v>
      </c>
      <c r="D44" s="76">
        <v>1</v>
      </c>
      <c r="E44" s="92">
        <f t="shared" si="19"/>
        <v>8.405E-2</v>
      </c>
      <c r="F44" s="81">
        <f t="shared" si="15"/>
        <v>0</v>
      </c>
      <c r="G44" s="81">
        <v>0</v>
      </c>
      <c r="H44" s="95">
        <f t="shared" si="20"/>
        <v>8.405E-2</v>
      </c>
      <c r="I44" s="85">
        <v>1</v>
      </c>
      <c r="J44" s="98">
        <v>0.1</v>
      </c>
      <c r="K44" s="89">
        <f t="shared" si="16"/>
        <v>0</v>
      </c>
      <c r="L44" s="89">
        <f t="shared" si="17"/>
        <v>0</v>
      </c>
      <c r="M44" s="89">
        <f t="shared" si="21"/>
        <v>0</v>
      </c>
    </row>
    <row r="45" spans="1:17">
      <c r="A45" s="8" t="s">
        <v>14</v>
      </c>
      <c r="B45" s="50">
        <f>IF(B$3='Base Cenários'!A$3,'Base Cenários'!C10,(IF(B$3='Base Cenários'!A$14,'Base Cenários'!C21,'Base Cenários'!C32)))</f>
        <v>0</v>
      </c>
      <c r="C45" s="45">
        <f t="shared" si="18"/>
        <v>0</v>
      </c>
      <c r="D45" s="76">
        <v>1</v>
      </c>
      <c r="E45" s="92">
        <f t="shared" si="19"/>
        <v>8.405E-2</v>
      </c>
      <c r="F45" s="81">
        <f t="shared" si="15"/>
        <v>0</v>
      </c>
      <c r="G45" s="81">
        <v>0</v>
      </c>
      <c r="H45" s="95">
        <f t="shared" si="20"/>
        <v>8.405E-2</v>
      </c>
      <c r="I45" s="85">
        <v>1</v>
      </c>
      <c r="J45" s="98">
        <v>0.1</v>
      </c>
      <c r="K45" s="89">
        <f t="shared" si="16"/>
        <v>0</v>
      </c>
      <c r="L45" s="89">
        <f t="shared" si="17"/>
        <v>0</v>
      </c>
      <c r="M45" s="89">
        <f t="shared" si="21"/>
        <v>0</v>
      </c>
    </row>
    <row r="46" spans="1:17">
      <c r="A46" s="8" t="s">
        <v>15</v>
      </c>
      <c r="B46" s="50">
        <f>IF(B$3='Base Cenários'!A$3,'Base Cenários'!C11,(IF(B$3='Base Cenários'!A$14,'Base Cenários'!C22,'Base Cenários'!C33)))</f>
        <v>0.32585412480974124</v>
      </c>
      <c r="C46" s="45">
        <f t="shared" si="18"/>
        <v>10276135.679999998</v>
      </c>
      <c r="D46" s="76">
        <v>1</v>
      </c>
      <c r="E46" s="92">
        <f t="shared" si="19"/>
        <v>8.405E-2</v>
      </c>
      <c r="F46" s="81">
        <f t="shared" si="15"/>
        <v>10276135.679999998</v>
      </c>
      <c r="G46" s="81">
        <v>0</v>
      </c>
      <c r="H46" s="95">
        <f t="shared" si="20"/>
        <v>8.405E-2</v>
      </c>
      <c r="I46" s="85">
        <v>1</v>
      </c>
      <c r="J46" s="98">
        <v>0.1</v>
      </c>
      <c r="K46" s="89">
        <f t="shared" si="16"/>
        <v>863709.20390399976</v>
      </c>
      <c r="L46" s="89">
        <f t="shared" si="17"/>
        <v>863709.20390399976</v>
      </c>
      <c r="M46" s="89">
        <f t="shared" si="21"/>
        <v>172741.84078079998</v>
      </c>
    </row>
    <row r="47" spans="1:17" ht="12.75" thickBot="1">
      <c r="A47" s="10" t="s">
        <v>16</v>
      </c>
      <c r="B47" s="51">
        <f>IF(B$3='Base Cenários'!A$3,'Base Cenários'!C12,(IF(B$3='Base Cenários'!A$14,'Base Cenários'!C23,'Base Cenários'!C34)))</f>
        <v>0</v>
      </c>
      <c r="C47" s="51">
        <f t="shared" si="18"/>
        <v>0</v>
      </c>
      <c r="D47" s="77">
        <v>1</v>
      </c>
      <c r="E47" s="93">
        <f t="shared" si="19"/>
        <v>8.405E-2</v>
      </c>
      <c r="F47" s="82">
        <f t="shared" si="15"/>
        <v>0</v>
      </c>
      <c r="G47" s="82">
        <v>0</v>
      </c>
      <c r="H47" s="96">
        <f t="shared" si="20"/>
        <v>8.405E-2</v>
      </c>
      <c r="I47" s="86">
        <v>1</v>
      </c>
      <c r="J47" s="99">
        <v>0.1</v>
      </c>
      <c r="K47" s="90">
        <f t="shared" si="16"/>
        <v>0</v>
      </c>
      <c r="L47" s="90">
        <f t="shared" si="17"/>
        <v>0</v>
      </c>
      <c r="M47" s="90">
        <f t="shared" si="21"/>
        <v>0</v>
      </c>
    </row>
    <row r="48" spans="1:17" ht="12.75" thickBot="1">
      <c r="L48" s="46" t="s">
        <v>40</v>
      </c>
      <c r="M48" s="94">
        <f>SUM(M42:M47)</f>
        <v>172741.84078079998</v>
      </c>
    </row>
    <row r="50" spans="1:15" ht="12.75" thickBot="1">
      <c r="A50" s="10"/>
      <c r="B50" s="10"/>
      <c r="C50" s="10"/>
      <c r="D50" s="10"/>
      <c r="E50" s="10"/>
      <c r="F50" s="10"/>
      <c r="G50" s="10"/>
      <c r="H50" s="10"/>
      <c r="I50" s="41"/>
      <c r="J50" s="41"/>
      <c r="K50" s="10"/>
      <c r="L50" s="10"/>
      <c r="M50" s="10"/>
      <c r="N50" s="10"/>
      <c r="O50" s="10"/>
    </row>
    <row r="51" spans="1:15" ht="15.75" customHeight="1" thickBot="1">
      <c r="A51" s="165" t="s">
        <v>3</v>
      </c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</row>
    <row r="52" spans="1:15" ht="15.75" customHeight="1" thickBot="1">
      <c r="A52" s="158" t="s">
        <v>36</v>
      </c>
      <c r="B52" s="75" t="s">
        <v>37</v>
      </c>
      <c r="C52" s="75"/>
      <c r="D52" s="75"/>
      <c r="E52" s="75"/>
      <c r="F52" s="164" t="s">
        <v>86</v>
      </c>
      <c r="G52" s="164"/>
      <c r="H52" s="164"/>
      <c r="I52" s="162" t="s">
        <v>88</v>
      </c>
      <c r="J52" s="162"/>
      <c r="K52" s="83" t="s">
        <v>91</v>
      </c>
      <c r="L52" s="163" t="s">
        <v>82</v>
      </c>
      <c r="M52" s="163"/>
      <c r="N52" s="163"/>
      <c r="O52" s="163"/>
    </row>
    <row r="53" spans="1:15" ht="12.75" thickBot="1">
      <c r="A53" s="159"/>
      <c r="B53" s="44" t="s">
        <v>38</v>
      </c>
      <c r="C53" s="44" t="s">
        <v>87</v>
      </c>
      <c r="D53" s="44" t="s">
        <v>89</v>
      </c>
      <c r="E53" s="44" t="s">
        <v>97</v>
      </c>
      <c r="F53" s="80" t="s">
        <v>94</v>
      </c>
      <c r="G53" s="80" t="s">
        <v>95</v>
      </c>
      <c r="H53" s="80" t="s">
        <v>98</v>
      </c>
      <c r="I53" s="91" t="s">
        <v>96</v>
      </c>
      <c r="J53" s="91" t="s">
        <v>98</v>
      </c>
      <c r="K53" s="84" t="s">
        <v>92</v>
      </c>
      <c r="L53" s="88" t="s">
        <v>83</v>
      </c>
      <c r="M53" s="88" t="s">
        <v>84</v>
      </c>
      <c r="N53" s="88" t="s">
        <v>85</v>
      </c>
      <c r="O53" s="88" t="s">
        <v>93</v>
      </c>
    </row>
    <row r="54" spans="1:15">
      <c r="A54" s="8" t="s">
        <v>11</v>
      </c>
      <c r="B54" s="50">
        <f>IF(B$3='Base Cenários'!A$3,'Base Cenários'!D7,(IF(B$3='Base Cenários'!A$14,'Base Cenários'!D18,'Base Cenários'!D29)))</f>
        <v>0</v>
      </c>
      <c r="C54" s="45">
        <f>B54*24*60*60*365</f>
        <v>0</v>
      </c>
      <c r="D54" s="76">
        <v>1</v>
      </c>
      <c r="E54" s="92">
        <f>C$4</f>
        <v>8.405E-2</v>
      </c>
      <c r="F54" s="81">
        <f t="shared" ref="F54:F59" si="22">C54</f>
        <v>0</v>
      </c>
      <c r="G54" s="81">
        <v>0</v>
      </c>
      <c r="H54" s="95">
        <f>C$4</f>
        <v>8.405E-2</v>
      </c>
      <c r="I54" s="47">
        <f>IF(B$3='Base Cenários'!A$3,'Base Cenários'!J7,(IF(B$3='Base Cenários'!A$14,'Base Cenários'!J18,'Base Cenários'!J29)))</f>
        <v>0</v>
      </c>
      <c r="J54" s="47">
        <f>C$4</f>
        <v>8.405E-2</v>
      </c>
      <c r="K54" s="85">
        <v>1</v>
      </c>
      <c r="L54" s="89">
        <f>C54*D54*E54</f>
        <v>0</v>
      </c>
      <c r="M54" s="89">
        <f>IF(F54&gt;0,(F54-G54)*H54*(C54/F54),0)</f>
        <v>0</v>
      </c>
      <c r="N54" s="89">
        <f>I54*J54</f>
        <v>0</v>
      </c>
      <c r="O54" s="89">
        <f>(L54+M54+N54)*K54</f>
        <v>0</v>
      </c>
    </row>
    <row r="55" spans="1:15">
      <c r="A55" s="8" t="s">
        <v>12</v>
      </c>
      <c r="B55" s="50">
        <f>IF(B$3='Base Cenários'!A$3,'Base Cenários'!D8,(IF(B$3='Base Cenários'!A$14,'Base Cenários'!D19,'Base Cenários'!D30)))</f>
        <v>0</v>
      </c>
      <c r="C55" s="45">
        <f t="shared" ref="C55:C59" si="23">B55*24*60*60*365</f>
        <v>0</v>
      </c>
      <c r="D55" s="76">
        <v>1</v>
      </c>
      <c r="E55" s="92">
        <f t="shared" ref="E55:E59" si="24">C$4</f>
        <v>8.405E-2</v>
      </c>
      <c r="F55" s="81">
        <f t="shared" si="22"/>
        <v>0</v>
      </c>
      <c r="G55" s="81">
        <v>0</v>
      </c>
      <c r="H55" s="95">
        <f t="shared" ref="H55:H59" si="25">C$4</f>
        <v>8.405E-2</v>
      </c>
      <c r="I55" s="47">
        <f>IF(B$3='Base Cenários'!A$3,'Base Cenários'!J8,(IF(B$3='Base Cenários'!A$14,'Base Cenários'!J19,'Base Cenários'!J30)))</f>
        <v>0</v>
      </c>
      <c r="J55" s="47">
        <f t="shared" ref="J55:J59" si="26">C$4</f>
        <v>8.405E-2</v>
      </c>
      <c r="K55" s="85">
        <v>1</v>
      </c>
      <c r="L55" s="89">
        <f t="shared" ref="L55:L59" si="27">C55*D55*E55</f>
        <v>0</v>
      </c>
      <c r="M55" s="89">
        <f t="shared" ref="M55:M59" si="28">IF(F55&gt;0,(F55-G55)*H55*(C55/F55),0)</f>
        <v>0</v>
      </c>
      <c r="N55" s="89">
        <f t="shared" ref="N55:N59" si="29">I55*J55</f>
        <v>0</v>
      </c>
      <c r="O55" s="89">
        <f t="shared" ref="O55:O59" si="30">(L55+M55+N55)*K55</f>
        <v>0</v>
      </c>
    </row>
    <row r="56" spans="1:15">
      <c r="A56" s="8" t="s">
        <v>13</v>
      </c>
      <c r="B56" s="50">
        <f>IF(B$3='Base Cenários'!A$3,'Base Cenários'!D9,(IF(B$3='Base Cenários'!A$14,'Base Cenários'!D20,'Base Cenários'!D31)))</f>
        <v>0</v>
      </c>
      <c r="C56" s="45">
        <f t="shared" si="23"/>
        <v>0</v>
      </c>
      <c r="D56" s="76">
        <v>1</v>
      </c>
      <c r="E56" s="92">
        <f t="shared" si="24"/>
        <v>8.405E-2</v>
      </c>
      <c r="F56" s="81">
        <f t="shared" si="22"/>
        <v>0</v>
      </c>
      <c r="G56" s="81">
        <v>0</v>
      </c>
      <c r="H56" s="95">
        <f t="shared" si="25"/>
        <v>8.405E-2</v>
      </c>
      <c r="I56" s="47">
        <f>IF(B$3='Base Cenários'!A$3,'Base Cenários'!J9,(IF(B$3='Base Cenários'!A$14,'Base Cenários'!J20,'Base Cenários'!J31)))</f>
        <v>0</v>
      </c>
      <c r="J56" s="47">
        <f t="shared" si="26"/>
        <v>8.405E-2</v>
      </c>
      <c r="K56" s="85">
        <v>1</v>
      </c>
      <c r="L56" s="89">
        <f t="shared" si="27"/>
        <v>0</v>
      </c>
      <c r="M56" s="89">
        <f t="shared" si="28"/>
        <v>0</v>
      </c>
      <c r="N56" s="89">
        <f t="shared" si="29"/>
        <v>0</v>
      </c>
      <c r="O56" s="89">
        <f t="shared" si="30"/>
        <v>0</v>
      </c>
    </row>
    <row r="57" spans="1:15">
      <c r="A57" s="8" t="s">
        <v>14</v>
      </c>
      <c r="B57" s="50">
        <f>IF(B$3='Base Cenários'!A$3,'Base Cenários'!D10,(IF(B$3='Base Cenários'!A$14,'Base Cenários'!D21,'Base Cenários'!D32)))</f>
        <v>0.27297475266362253</v>
      </c>
      <c r="C57" s="45">
        <f t="shared" si="23"/>
        <v>8608531.8000000007</v>
      </c>
      <c r="D57" s="76">
        <v>1</v>
      </c>
      <c r="E57" s="92">
        <f t="shared" si="24"/>
        <v>8.405E-2</v>
      </c>
      <c r="F57" s="81">
        <f t="shared" si="22"/>
        <v>8608531.8000000007</v>
      </c>
      <c r="G57" s="81">
        <v>0</v>
      </c>
      <c r="H57" s="95">
        <f t="shared" si="25"/>
        <v>8.405E-2</v>
      </c>
      <c r="I57" s="47">
        <f>IF(B$3='Base Cenários'!A$3,'Base Cenários'!J10,(IF(B$3='Base Cenários'!A$14,'Base Cenários'!J21,'Base Cenários'!J32)))</f>
        <v>105106.61833643838</v>
      </c>
      <c r="J57" s="47">
        <f t="shared" si="26"/>
        <v>8.405E-2</v>
      </c>
      <c r="K57" s="85">
        <v>1</v>
      </c>
      <c r="L57" s="89">
        <f t="shared" si="27"/>
        <v>723547.09779000003</v>
      </c>
      <c r="M57" s="89">
        <f t="shared" si="28"/>
        <v>723547.09779000003</v>
      </c>
      <c r="N57" s="89">
        <f t="shared" si="29"/>
        <v>8834.2112711776463</v>
      </c>
      <c r="O57" s="89">
        <f t="shared" si="30"/>
        <v>1455928.4068511778</v>
      </c>
    </row>
    <row r="58" spans="1:15">
      <c r="A58" s="8" t="s">
        <v>15</v>
      </c>
      <c r="B58" s="50">
        <f>IF(B$3='Base Cenários'!A$3,'Base Cenários'!D11,(IF(B$3='Base Cenários'!A$14,'Base Cenários'!D22,'Base Cenários'!D33)))</f>
        <v>0</v>
      </c>
      <c r="C58" s="45">
        <f t="shared" si="23"/>
        <v>0</v>
      </c>
      <c r="D58" s="76">
        <v>1</v>
      </c>
      <c r="E58" s="92">
        <f t="shared" si="24"/>
        <v>8.405E-2</v>
      </c>
      <c r="F58" s="81">
        <f t="shared" si="22"/>
        <v>0</v>
      </c>
      <c r="G58" s="81">
        <v>0</v>
      </c>
      <c r="H58" s="95">
        <f t="shared" si="25"/>
        <v>8.405E-2</v>
      </c>
      <c r="I58" s="47">
        <f>IF(B$3='Base Cenários'!A$3,'Base Cenários'!J11,(IF(B$3='Base Cenários'!A$14,'Base Cenários'!J22,'Base Cenários'!J33)))</f>
        <v>0</v>
      </c>
      <c r="J58" s="47">
        <f t="shared" si="26"/>
        <v>8.405E-2</v>
      </c>
      <c r="K58" s="85">
        <v>1</v>
      </c>
      <c r="L58" s="89">
        <f t="shared" si="27"/>
        <v>0</v>
      </c>
      <c r="M58" s="89">
        <f t="shared" si="28"/>
        <v>0</v>
      </c>
      <c r="N58" s="89">
        <f t="shared" si="29"/>
        <v>0</v>
      </c>
      <c r="O58" s="89">
        <f t="shared" si="30"/>
        <v>0</v>
      </c>
    </row>
    <row r="59" spans="1:15" ht="12.75" thickBot="1">
      <c r="A59" s="10" t="s">
        <v>16</v>
      </c>
      <c r="B59" s="51">
        <f>IF(B$3='Base Cenários'!A$3,'Base Cenários'!D12,(IF(B$3='Base Cenários'!A$14,'Base Cenários'!D23,'Base Cenários'!D34)))</f>
        <v>1.5498985286656519E-3</v>
      </c>
      <c r="C59" s="51">
        <f t="shared" si="23"/>
        <v>48877.599999999999</v>
      </c>
      <c r="D59" s="77">
        <v>1</v>
      </c>
      <c r="E59" s="93">
        <f t="shared" si="24"/>
        <v>8.405E-2</v>
      </c>
      <c r="F59" s="82">
        <f t="shared" si="22"/>
        <v>48877.599999999999</v>
      </c>
      <c r="G59" s="82">
        <v>0</v>
      </c>
      <c r="H59" s="96">
        <f t="shared" si="25"/>
        <v>8.405E-2</v>
      </c>
      <c r="I59" s="48">
        <f>IF(B$3='Base Cenários'!A$3,'Base Cenários'!J12,(IF(B$3='Base Cenários'!A$14,'Base Cenários'!J23,'Base Cenários'!J34)))</f>
        <v>0</v>
      </c>
      <c r="J59" s="48">
        <f t="shared" si="26"/>
        <v>8.405E-2</v>
      </c>
      <c r="K59" s="86">
        <v>1</v>
      </c>
      <c r="L59" s="90">
        <f t="shared" si="27"/>
        <v>4108.1622799999996</v>
      </c>
      <c r="M59" s="90">
        <f t="shared" si="28"/>
        <v>4108.1622799999996</v>
      </c>
      <c r="N59" s="90">
        <f t="shared" si="29"/>
        <v>0</v>
      </c>
      <c r="O59" s="90">
        <f t="shared" si="30"/>
        <v>8216.3245599999991</v>
      </c>
    </row>
    <row r="60" spans="1:15" ht="12.75" thickBot="1">
      <c r="N60" s="46" t="s">
        <v>40</v>
      </c>
      <c r="O60" s="94">
        <f>SUM(O54:O59)</f>
        <v>1464144.7314111779</v>
      </c>
    </row>
    <row r="62" spans="1:15" ht="12.75" thickBot="1">
      <c r="A62" s="10"/>
      <c r="B62" s="10"/>
      <c r="C62" s="10"/>
      <c r="D62" s="10"/>
      <c r="E62" s="10"/>
      <c r="F62" s="10"/>
      <c r="G62" s="10"/>
      <c r="H62" s="10"/>
      <c r="I62" s="41"/>
      <c r="J62" s="41"/>
      <c r="K62" s="10"/>
      <c r="L62" s="10"/>
    </row>
    <row r="63" spans="1:15" ht="15.75" customHeight="1" thickBot="1">
      <c r="A63" s="165" t="s">
        <v>4</v>
      </c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</row>
    <row r="64" spans="1:15" ht="15.75" customHeight="1" thickBot="1">
      <c r="A64" s="158" t="s">
        <v>36</v>
      </c>
      <c r="B64" s="160" t="s">
        <v>37</v>
      </c>
      <c r="C64" s="160"/>
      <c r="D64" s="160"/>
      <c r="E64" s="160"/>
      <c r="F64" s="164" t="s">
        <v>86</v>
      </c>
      <c r="G64" s="164"/>
      <c r="H64" s="83" t="s">
        <v>91</v>
      </c>
      <c r="I64" s="97" t="s">
        <v>101</v>
      </c>
      <c r="J64" s="163" t="s">
        <v>82</v>
      </c>
      <c r="K64" s="163"/>
      <c r="L64" s="163"/>
    </row>
    <row r="65" spans="1:15" ht="12.75" thickBot="1">
      <c r="A65" s="159"/>
      <c r="B65" s="44" t="s">
        <v>38</v>
      </c>
      <c r="C65" s="44" t="s">
        <v>87</v>
      </c>
      <c r="D65" s="44" t="s">
        <v>89</v>
      </c>
      <c r="E65" s="44" t="s">
        <v>97</v>
      </c>
      <c r="F65" s="80" t="s">
        <v>99</v>
      </c>
      <c r="G65" s="80" t="s">
        <v>98</v>
      </c>
      <c r="H65" s="84" t="s">
        <v>92</v>
      </c>
      <c r="I65" s="87" t="s">
        <v>102</v>
      </c>
      <c r="J65" s="88" t="s">
        <v>83</v>
      </c>
      <c r="K65" s="88" t="s">
        <v>84</v>
      </c>
      <c r="L65" s="88" t="s">
        <v>93</v>
      </c>
    </row>
    <row r="66" spans="1:15">
      <c r="A66" s="8" t="s">
        <v>11</v>
      </c>
      <c r="B66" s="50">
        <f>IF(B$3='Base Cenários'!A$3,'Base Cenários'!E7,(IF(B$3='Base Cenários'!A$14,'Base Cenários'!E18,'Base Cenários'!E29)))</f>
        <v>0</v>
      </c>
      <c r="C66" s="45">
        <f>B66*24*60*60*365</f>
        <v>0</v>
      </c>
      <c r="D66" s="76">
        <v>1</v>
      </c>
      <c r="E66" s="92">
        <f>C$4</f>
        <v>8.405E-2</v>
      </c>
      <c r="F66" s="81">
        <v>0.75</v>
      </c>
      <c r="G66" s="95">
        <f>C$4</f>
        <v>8.405E-2</v>
      </c>
      <c r="H66" s="85">
        <v>1</v>
      </c>
      <c r="I66" s="98">
        <v>0.5</v>
      </c>
      <c r="J66" s="89">
        <f t="shared" ref="J66:J71" si="31">C66*D66*E66</f>
        <v>0</v>
      </c>
      <c r="K66" s="89">
        <f>C66*F66*G66</f>
        <v>0</v>
      </c>
      <c r="L66" s="89">
        <f>(J66+K66)*H66*I66</f>
        <v>0</v>
      </c>
    </row>
    <row r="67" spans="1:15">
      <c r="A67" s="8" t="s">
        <v>12</v>
      </c>
      <c r="B67" s="50">
        <f>IF(B$3='Base Cenários'!A$3,'Base Cenários'!E8,(IF(B$3='Base Cenários'!A$14,'Base Cenários'!E19,'Base Cenários'!E30)))</f>
        <v>0</v>
      </c>
      <c r="C67" s="45">
        <f t="shared" ref="C67:C71" si="32">B67*24*60*60*365</f>
        <v>0</v>
      </c>
      <c r="D67" s="76">
        <v>1</v>
      </c>
      <c r="E67" s="92">
        <f t="shared" ref="E67:E71" si="33">C$4</f>
        <v>8.405E-2</v>
      </c>
      <c r="F67" s="81">
        <v>0.75</v>
      </c>
      <c r="G67" s="95">
        <f t="shared" ref="G67:G71" si="34">C$4</f>
        <v>8.405E-2</v>
      </c>
      <c r="H67" s="85">
        <v>1</v>
      </c>
      <c r="I67" s="98">
        <v>0.5</v>
      </c>
      <c r="J67" s="89">
        <f t="shared" si="31"/>
        <v>0</v>
      </c>
      <c r="K67" s="89">
        <f t="shared" ref="K67:K71" si="35">C67*F67*G67</f>
        <v>0</v>
      </c>
      <c r="L67" s="89">
        <f t="shared" ref="L67:L71" si="36">(J67+K67)*H67*I67</f>
        <v>0</v>
      </c>
    </row>
    <row r="68" spans="1:15">
      <c r="A68" s="8" t="s">
        <v>13</v>
      </c>
      <c r="B68" s="50">
        <f>IF(B$3='Base Cenários'!A$3,'Base Cenários'!E9,(IF(B$3='Base Cenários'!A$14,'Base Cenários'!E20,'Base Cenários'!E31)))</f>
        <v>0</v>
      </c>
      <c r="C68" s="45">
        <f t="shared" si="32"/>
        <v>0</v>
      </c>
      <c r="D68" s="76">
        <v>1</v>
      </c>
      <c r="E68" s="92">
        <f t="shared" si="33"/>
        <v>8.405E-2</v>
      </c>
      <c r="F68" s="81">
        <v>0.75</v>
      </c>
      <c r="G68" s="95">
        <f t="shared" si="34"/>
        <v>8.405E-2</v>
      </c>
      <c r="H68" s="85">
        <v>1</v>
      </c>
      <c r="I68" s="98">
        <v>0.5</v>
      </c>
      <c r="J68" s="89">
        <f t="shared" si="31"/>
        <v>0</v>
      </c>
      <c r="K68" s="89">
        <f t="shared" si="35"/>
        <v>0</v>
      </c>
      <c r="L68" s="89">
        <f t="shared" si="36"/>
        <v>0</v>
      </c>
    </row>
    <row r="69" spans="1:15">
      <c r="A69" s="8" t="s">
        <v>14</v>
      </c>
      <c r="B69" s="50">
        <f>IF(B$3='Base Cenários'!A$3,'Base Cenários'!E10,(IF(B$3='Base Cenários'!A$14,'Base Cenários'!E21,'Base Cenários'!E32)))</f>
        <v>2.0091324200913243E-4</v>
      </c>
      <c r="C69" s="45">
        <f t="shared" si="32"/>
        <v>6336</v>
      </c>
      <c r="D69" s="76">
        <v>1</v>
      </c>
      <c r="E69" s="92">
        <f t="shared" si="33"/>
        <v>8.405E-2</v>
      </c>
      <c r="F69" s="81">
        <v>0.75</v>
      </c>
      <c r="G69" s="95">
        <f t="shared" si="34"/>
        <v>8.405E-2</v>
      </c>
      <c r="H69" s="85">
        <v>1</v>
      </c>
      <c r="I69" s="98">
        <v>0.5</v>
      </c>
      <c r="J69" s="89">
        <f t="shared" si="31"/>
        <v>532.54079999999999</v>
      </c>
      <c r="K69" s="89">
        <f t="shared" si="35"/>
        <v>399.40559999999999</v>
      </c>
      <c r="L69" s="89">
        <f t="shared" si="36"/>
        <v>465.97320000000002</v>
      </c>
    </row>
    <row r="70" spans="1:15">
      <c r="A70" s="8" t="s">
        <v>15</v>
      </c>
      <c r="B70" s="50">
        <f>IF(B$3='Base Cenários'!A$3,'Base Cenários'!E11,(IF(B$3='Base Cenários'!A$14,'Base Cenários'!E22,'Base Cenários'!E33)))</f>
        <v>2.0795281582952816E-4</v>
      </c>
      <c r="C70" s="45">
        <f t="shared" si="32"/>
        <v>6558.0000000000009</v>
      </c>
      <c r="D70" s="76">
        <v>1</v>
      </c>
      <c r="E70" s="92">
        <f t="shared" si="33"/>
        <v>8.405E-2</v>
      </c>
      <c r="F70" s="81">
        <v>0.75</v>
      </c>
      <c r="G70" s="95">
        <f t="shared" si="34"/>
        <v>8.405E-2</v>
      </c>
      <c r="H70" s="85">
        <v>1</v>
      </c>
      <c r="I70" s="98">
        <v>0.5</v>
      </c>
      <c r="J70" s="89">
        <f t="shared" si="31"/>
        <v>551.19990000000007</v>
      </c>
      <c r="K70" s="89">
        <f t="shared" si="35"/>
        <v>413.39992500000005</v>
      </c>
      <c r="L70" s="89">
        <f t="shared" si="36"/>
        <v>482.29991250000006</v>
      </c>
    </row>
    <row r="71" spans="1:15" ht="12.75" thickBot="1">
      <c r="A71" s="10" t="s">
        <v>16</v>
      </c>
      <c r="B71" s="51">
        <f>IF(B$3='Base Cenários'!A$3,'Base Cenários'!E12,(IF(B$3='Base Cenários'!A$14,'Base Cenários'!E23,'Base Cenários'!E34)))</f>
        <v>2.7207001522070015E-4</v>
      </c>
      <c r="C71" s="51">
        <f t="shared" si="32"/>
        <v>8580</v>
      </c>
      <c r="D71" s="77">
        <v>1</v>
      </c>
      <c r="E71" s="93">
        <f t="shared" si="33"/>
        <v>8.405E-2</v>
      </c>
      <c r="F71" s="82">
        <v>0.75</v>
      </c>
      <c r="G71" s="96">
        <f t="shared" si="34"/>
        <v>8.405E-2</v>
      </c>
      <c r="H71" s="86">
        <v>1</v>
      </c>
      <c r="I71" s="99">
        <v>0.5</v>
      </c>
      <c r="J71" s="90">
        <f t="shared" si="31"/>
        <v>721.149</v>
      </c>
      <c r="K71" s="90">
        <f t="shared" si="35"/>
        <v>540.86175000000003</v>
      </c>
      <c r="L71" s="90">
        <f t="shared" si="36"/>
        <v>631.00537499999996</v>
      </c>
    </row>
    <row r="72" spans="1:15" ht="12.75" thickBot="1">
      <c r="K72" s="46" t="s">
        <v>40</v>
      </c>
      <c r="L72" s="94">
        <f>SUM(L66:L71)</f>
        <v>1579.2784875</v>
      </c>
    </row>
    <row r="73" spans="1:15">
      <c r="K73" s="43"/>
      <c r="L73" s="73"/>
    </row>
    <row r="74" spans="1:15" ht="12.75" thickBot="1"/>
    <row r="75" spans="1:15" ht="12.75" thickBot="1">
      <c r="A75" s="165" t="s">
        <v>44</v>
      </c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</row>
    <row r="76" spans="1:15" ht="15.75" customHeight="1" thickBot="1">
      <c r="A76" s="158" t="s">
        <v>36</v>
      </c>
      <c r="B76" s="75" t="s">
        <v>37</v>
      </c>
      <c r="C76" s="75"/>
      <c r="D76" s="75"/>
      <c r="E76" s="75"/>
      <c r="F76" s="164" t="s">
        <v>86</v>
      </c>
      <c r="G76" s="164"/>
      <c r="H76" s="164"/>
      <c r="I76" s="162" t="s">
        <v>88</v>
      </c>
      <c r="J76" s="162"/>
      <c r="K76" s="83" t="s">
        <v>91</v>
      </c>
      <c r="L76" s="163" t="s">
        <v>82</v>
      </c>
      <c r="M76" s="163"/>
      <c r="N76" s="163"/>
      <c r="O76" s="163"/>
    </row>
    <row r="77" spans="1:15" ht="12.75" thickBot="1">
      <c r="A77" s="159"/>
      <c r="B77" s="44" t="s">
        <v>38</v>
      </c>
      <c r="C77" s="44" t="s">
        <v>87</v>
      </c>
      <c r="D77" s="44" t="s">
        <v>89</v>
      </c>
      <c r="E77" s="44" t="s">
        <v>97</v>
      </c>
      <c r="F77" s="80" t="s">
        <v>94</v>
      </c>
      <c r="G77" s="80" t="s">
        <v>95</v>
      </c>
      <c r="H77" s="80" t="s">
        <v>98</v>
      </c>
      <c r="I77" s="91" t="s">
        <v>96</v>
      </c>
      <c r="J77" s="91" t="s">
        <v>98</v>
      </c>
      <c r="K77" s="84" t="s">
        <v>92</v>
      </c>
      <c r="L77" s="88" t="s">
        <v>83</v>
      </c>
      <c r="M77" s="88" t="s">
        <v>84</v>
      </c>
      <c r="N77" s="88" t="s">
        <v>85</v>
      </c>
      <c r="O77" s="88" t="s">
        <v>93</v>
      </c>
    </row>
    <row r="78" spans="1:15">
      <c r="A78" s="8" t="s">
        <v>11</v>
      </c>
      <c r="B78" s="50">
        <f>IF(B$3='Base Cenários'!A$3,'Base Cenários'!F7,(IF(B$3='Base Cenários'!A$14,'Base Cenários'!F18,'Base Cenários'!F29)))</f>
        <v>0</v>
      </c>
      <c r="C78" s="45">
        <f>B78*24*60*60*365</f>
        <v>0</v>
      </c>
      <c r="D78" s="76">
        <v>1</v>
      </c>
      <c r="E78" s="92">
        <f>C$4</f>
        <v>8.405E-2</v>
      </c>
      <c r="F78" s="81">
        <f t="shared" ref="F78:F83" si="37">C78</f>
        <v>0</v>
      </c>
      <c r="G78" s="81">
        <v>0</v>
      </c>
      <c r="H78" s="95">
        <f>C$4</f>
        <v>8.405E-2</v>
      </c>
      <c r="I78" s="47">
        <f>IF(B$3='Base Cenários'!A$3,'Base Cenários'!K7,(IF(B$3='Base Cenários'!A$14,'Base Cenários'!K18,'Base Cenários'!K29)))</f>
        <v>0</v>
      </c>
      <c r="J78" s="47">
        <f>C$4</f>
        <v>8.405E-2</v>
      </c>
      <c r="K78" s="85">
        <v>1</v>
      </c>
      <c r="L78" s="89">
        <f>C78*D78*E78</f>
        <v>0</v>
      </c>
      <c r="M78" s="89">
        <f>IF(F78&gt;0,(F78-G78)*H78*(C78/F78),0)</f>
        <v>0</v>
      </c>
      <c r="N78" s="89">
        <f>I78*J78</f>
        <v>0</v>
      </c>
      <c r="O78" s="89">
        <f>(L78+M78+N78)*K78</f>
        <v>0</v>
      </c>
    </row>
    <row r="79" spans="1:15">
      <c r="A79" s="8" t="s">
        <v>12</v>
      </c>
      <c r="B79" s="50">
        <f>IF(B$3='Base Cenários'!A$3,'Base Cenários'!F8,(IF(B$3='Base Cenários'!A$14,'Base Cenários'!F19,'Base Cenários'!F30)))</f>
        <v>0</v>
      </c>
      <c r="C79" s="45">
        <f t="shared" ref="C79:C83" si="38">B79*24*60*60*365</f>
        <v>0</v>
      </c>
      <c r="D79" s="76">
        <v>1</v>
      </c>
      <c r="E79" s="92">
        <f t="shared" ref="E79:E83" si="39">C$4</f>
        <v>8.405E-2</v>
      </c>
      <c r="F79" s="81">
        <f t="shared" si="37"/>
        <v>0</v>
      </c>
      <c r="G79" s="81">
        <v>0</v>
      </c>
      <c r="H79" s="95">
        <f t="shared" ref="H79:H83" si="40">C$4</f>
        <v>8.405E-2</v>
      </c>
      <c r="I79" s="47">
        <f>IF(B$3='Base Cenários'!A$3,'Base Cenários'!K8,(IF(B$3='Base Cenários'!A$14,'Base Cenários'!K19,'Base Cenários'!K30)))</f>
        <v>0</v>
      </c>
      <c r="J79" s="47">
        <f t="shared" ref="J79:J83" si="41">C$4</f>
        <v>8.405E-2</v>
      </c>
      <c r="K79" s="85">
        <v>1</v>
      </c>
      <c r="L79" s="89">
        <f t="shared" ref="L79:L83" si="42">C79*D79*E79</f>
        <v>0</v>
      </c>
      <c r="M79" s="89">
        <f t="shared" ref="M79:M83" si="43">IF(F79&gt;0,(F79-G79)*H79*(C79/F79),0)</f>
        <v>0</v>
      </c>
      <c r="N79" s="89">
        <f t="shared" ref="N79:N83" si="44">I79*J79</f>
        <v>0</v>
      </c>
      <c r="O79" s="89">
        <f t="shared" ref="O79:O83" si="45">(L79+M79+N79)*K79</f>
        <v>0</v>
      </c>
    </row>
    <row r="80" spans="1:15">
      <c r="A80" s="8" t="s">
        <v>13</v>
      </c>
      <c r="B80" s="50">
        <f>IF(B$3='Base Cenários'!A$3,'Base Cenários'!F9,(IF(B$3='Base Cenários'!A$14,'Base Cenários'!F20,'Base Cenários'!F31)))</f>
        <v>0</v>
      </c>
      <c r="C80" s="45">
        <f t="shared" si="38"/>
        <v>0</v>
      </c>
      <c r="D80" s="76">
        <v>1</v>
      </c>
      <c r="E80" s="92">
        <f t="shared" si="39"/>
        <v>8.405E-2</v>
      </c>
      <c r="F80" s="81">
        <f t="shared" si="37"/>
        <v>0</v>
      </c>
      <c r="G80" s="81">
        <v>0</v>
      </c>
      <c r="H80" s="95">
        <f t="shared" si="40"/>
        <v>8.405E-2</v>
      </c>
      <c r="I80" s="47">
        <f>IF(B$3='Base Cenários'!A$3,'Base Cenários'!K9,(IF(B$3='Base Cenários'!A$14,'Base Cenários'!K20,'Base Cenários'!K31)))</f>
        <v>0</v>
      </c>
      <c r="J80" s="47">
        <f t="shared" si="41"/>
        <v>8.405E-2</v>
      </c>
      <c r="K80" s="85">
        <v>1</v>
      </c>
      <c r="L80" s="89">
        <f t="shared" si="42"/>
        <v>0</v>
      </c>
      <c r="M80" s="89">
        <f t="shared" si="43"/>
        <v>0</v>
      </c>
      <c r="N80" s="89">
        <f t="shared" si="44"/>
        <v>0</v>
      </c>
      <c r="O80" s="89">
        <f t="shared" si="45"/>
        <v>0</v>
      </c>
    </row>
    <row r="81" spans="1:15">
      <c r="A81" s="8" t="s">
        <v>14</v>
      </c>
      <c r="B81" s="50">
        <f>IF(B$3='Base Cenários'!A$3,'Base Cenários'!F10,(IF(B$3='Base Cenários'!A$14,'Base Cenários'!F21,'Base Cenários'!F32)))</f>
        <v>2.0501472602739725</v>
      </c>
      <c r="C81" s="45">
        <f t="shared" si="38"/>
        <v>64653443.999999993</v>
      </c>
      <c r="D81" s="76">
        <v>1</v>
      </c>
      <c r="E81" s="92">
        <f t="shared" si="39"/>
        <v>8.405E-2</v>
      </c>
      <c r="F81" s="81">
        <f t="shared" si="37"/>
        <v>64653443.999999993</v>
      </c>
      <c r="G81" s="81">
        <v>0</v>
      </c>
      <c r="H81" s="95">
        <f t="shared" si="40"/>
        <v>8.405E-2</v>
      </c>
      <c r="I81" s="47">
        <f>IF(B$3='Base Cenários'!A$3,'Base Cenários'!K10,(IF(B$3='Base Cenários'!A$14,'Base Cenários'!K21,'Base Cenários'!K32)))</f>
        <v>717043.82975999999</v>
      </c>
      <c r="J81" s="47">
        <f t="shared" si="41"/>
        <v>8.405E-2</v>
      </c>
      <c r="K81" s="85">
        <v>1</v>
      </c>
      <c r="L81" s="89">
        <f t="shared" si="42"/>
        <v>5434121.9681999991</v>
      </c>
      <c r="M81" s="89">
        <f t="shared" si="43"/>
        <v>5434121.9681999991</v>
      </c>
      <c r="N81" s="89">
        <f t="shared" si="44"/>
        <v>60267.533891327999</v>
      </c>
      <c r="O81" s="89">
        <f t="shared" si="45"/>
        <v>10928511.470291326</v>
      </c>
    </row>
    <row r="82" spans="1:15">
      <c r="A82" s="8" t="s">
        <v>15</v>
      </c>
      <c r="B82" s="50">
        <f>IF(B$3='Base Cenários'!A$3,'Base Cenários'!F11,(IF(B$3='Base Cenários'!A$14,'Base Cenários'!F22,'Base Cenários'!F33)))</f>
        <v>0</v>
      </c>
      <c r="C82" s="45">
        <f t="shared" si="38"/>
        <v>0</v>
      </c>
      <c r="D82" s="76">
        <v>1</v>
      </c>
      <c r="E82" s="92">
        <f t="shared" si="39"/>
        <v>8.405E-2</v>
      </c>
      <c r="F82" s="81">
        <f t="shared" si="37"/>
        <v>0</v>
      </c>
      <c r="G82" s="81">
        <v>0</v>
      </c>
      <c r="H82" s="95">
        <f t="shared" si="40"/>
        <v>8.405E-2</v>
      </c>
      <c r="I82" s="47">
        <f>IF(B$3='Base Cenários'!A$3,'Base Cenários'!K11,(IF(B$3='Base Cenários'!A$14,'Base Cenários'!K22,'Base Cenários'!K33)))</f>
        <v>0</v>
      </c>
      <c r="J82" s="47">
        <f t="shared" si="41"/>
        <v>8.405E-2</v>
      </c>
      <c r="K82" s="85">
        <v>1</v>
      </c>
      <c r="L82" s="89">
        <f t="shared" si="42"/>
        <v>0</v>
      </c>
      <c r="M82" s="89">
        <f t="shared" si="43"/>
        <v>0</v>
      </c>
      <c r="N82" s="89">
        <f t="shared" si="44"/>
        <v>0</v>
      </c>
      <c r="O82" s="89">
        <f t="shared" si="45"/>
        <v>0</v>
      </c>
    </row>
    <row r="83" spans="1:15" ht="12.75" thickBot="1">
      <c r="A83" s="10" t="s">
        <v>16</v>
      </c>
      <c r="B83" s="51">
        <f>IF(B$3='Base Cenários'!A$3,'Base Cenários'!F12,(IF(B$3='Base Cenários'!A$14,'Base Cenários'!F23,'Base Cenários'!F34)))</f>
        <v>0</v>
      </c>
      <c r="C83" s="51">
        <f t="shared" si="38"/>
        <v>0</v>
      </c>
      <c r="D83" s="77">
        <v>1</v>
      </c>
      <c r="E83" s="93">
        <f t="shared" si="39"/>
        <v>8.405E-2</v>
      </c>
      <c r="F83" s="82">
        <f t="shared" si="37"/>
        <v>0</v>
      </c>
      <c r="G83" s="82">
        <v>0</v>
      </c>
      <c r="H83" s="96">
        <f t="shared" si="40"/>
        <v>8.405E-2</v>
      </c>
      <c r="I83" s="48">
        <f>IF(B$3='Base Cenários'!A$3,'Base Cenários'!K12,(IF(B$3='Base Cenários'!A$14,'Base Cenários'!K23,'Base Cenários'!K34)))</f>
        <v>0</v>
      </c>
      <c r="J83" s="48">
        <f t="shared" si="41"/>
        <v>8.405E-2</v>
      </c>
      <c r="K83" s="86">
        <v>1</v>
      </c>
      <c r="L83" s="90">
        <f t="shared" si="42"/>
        <v>0</v>
      </c>
      <c r="M83" s="90">
        <f t="shared" si="43"/>
        <v>0</v>
      </c>
      <c r="N83" s="90">
        <f t="shared" si="44"/>
        <v>0</v>
      </c>
      <c r="O83" s="90">
        <f t="shared" si="45"/>
        <v>0</v>
      </c>
    </row>
    <row r="84" spans="1:15" ht="12.75" thickBot="1">
      <c r="N84" s="46" t="s">
        <v>40</v>
      </c>
      <c r="O84" s="94">
        <f>SUM(O78:O83)</f>
        <v>10928511.470291326</v>
      </c>
    </row>
  </sheetData>
  <mergeCells count="34">
    <mergeCell ref="A1:M1"/>
    <mergeCell ref="B2:I2"/>
    <mergeCell ref="A6:F6"/>
    <mergeCell ref="H6:M6"/>
    <mergeCell ref="A7:A8"/>
    <mergeCell ref="H7:H8"/>
    <mergeCell ref="B8:F8"/>
    <mergeCell ref="I8:M8"/>
    <mergeCell ref="A25:Q25"/>
    <mergeCell ref="A26:A27"/>
    <mergeCell ref="B26:F26"/>
    <mergeCell ref="G26:J26"/>
    <mergeCell ref="K26:L26"/>
    <mergeCell ref="N26:Q26"/>
    <mergeCell ref="A64:A65"/>
    <mergeCell ref="B64:E64"/>
    <mergeCell ref="F64:G64"/>
    <mergeCell ref="J64:L64"/>
    <mergeCell ref="A39:M39"/>
    <mergeCell ref="A40:A41"/>
    <mergeCell ref="B40:E40"/>
    <mergeCell ref="F40:H40"/>
    <mergeCell ref="K40:M40"/>
    <mergeCell ref="A51:O51"/>
    <mergeCell ref="A52:A53"/>
    <mergeCell ref="F52:H52"/>
    <mergeCell ref="I52:J52"/>
    <mergeCell ref="L52:O52"/>
    <mergeCell ref="A63:L63"/>
    <mergeCell ref="A75:O75"/>
    <mergeCell ref="A76:A77"/>
    <mergeCell ref="F76:H76"/>
    <mergeCell ref="I76:J76"/>
    <mergeCell ref="L76:O76"/>
  </mergeCells>
  <dataValidations count="2">
    <dataValidation type="list" allowBlank="1" showInputMessage="1" showErrorMessage="1" sqref="B3" xr:uid="{6FD9DB52-C889-4D98-9175-226D8332DCA4}">
      <formula1>"Cenário 1,Cenário 2,Cenário 3"</formula1>
    </dataValidation>
    <dataValidation type="list" allowBlank="1" showInputMessage="1" showErrorMessage="1" sqref="B4" xr:uid="{F47B631C-8CE9-43CB-8B60-EC978AD9EC69}">
      <formula1>"PPU 1,PPU 2,PPU 3"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1B45F-9713-4977-BC20-211F0349F0C0}">
  <dimension ref="A1:Q84"/>
  <sheetViews>
    <sheetView workbookViewId="0">
      <selection activeCell="B9" sqref="B9:F15"/>
    </sheetView>
  </sheetViews>
  <sheetFormatPr defaultColWidth="9.125" defaultRowHeight="12"/>
  <cols>
    <col min="1" max="1" width="19.75" style="8" bestFit="1" customWidth="1"/>
    <col min="2" max="2" width="16.25" style="8" bestFit="1" customWidth="1"/>
    <col min="3" max="3" width="15.25" style="8" bestFit="1" customWidth="1"/>
    <col min="4" max="4" width="16.25" style="8" bestFit="1" customWidth="1"/>
    <col min="5" max="5" width="12.75" style="8" bestFit="1" customWidth="1"/>
    <col min="6" max="6" width="16.125" style="8" bestFit="1" customWidth="1"/>
    <col min="7" max="7" width="12.375" style="8" customWidth="1"/>
    <col min="8" max="8" width="18" style="8" customWidth="1"/>
    <col min="9" max="9" width="15.875" style="42" bestFit="1" customWidth="1"/>
    <col min="10" max="10" width="16.125" style="42" bestFit="1" customWidth="1"/>
    <col min="11" max="11" width="13.625" style="8" bestFit="1" customWidth="1"/>
    <col min="12" max="13" width="15" style="8" bestFit="1" customWidth="1"/>
    <col min="14" max="14" width="16" style="8" bestFit="1" customWidth="1"/>
    <col min="15" max="15" width="15" style="8" bestFit="1" customWidth="1"/>
    <col min="16" max="16" width="13.625" style="8" bestFit="1" customWidth="1"/>
    <col min="17" max="17" width="15" style="8" bestFit="1" customWidth="1"/>
    <col min="18" max="16384" width="9.125" style="8"/>
  </cols>
  <sheetData>
    <row r="1" spans="1:13" ht="15.75">
      <c r="A1" s="152" t="s">
        <v>119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</row>
    <row r="2" spans="1:13">
      <c r="A2" s="38" t="s">
        <v>34</v>
      </c>
      <c r="B2" s="153" t="s">
        <v>100</v>
      </c>
      <c r="C2" s="153"/>
      <c r="D2" s="153"/>
      <c r="E2" s="153"/>
      <c r="F2" s="153"/>
      <c r="G2" s="153"/>
      <c r="H2" s="153"/>
      <c r="I2" s="153"/>
      <c r="J2" s="39"/>
    </row>
    <row r="3" spans="1:13">
      <c r="A3" s="38" t="s">
        <v>35</v>
      </c>
      <c r="B3" s="40" t="s">
        <v>71</v>
      </c>
      <c r="C3" s="40"/>
      <c r="D3" s="40"/>
      <c r="E3" s="40"/>
      <c r="F3" s="40"/>
      <c r="G3" s="40"/>
      <c r="H3" s="40"/>
      <c r="I3" s="39"/>
      <c r="J3" s="39"/>
    </row>
    <row r="4" spans="1:13">
      <c r="A4" s="38" t="s">
        <v>81</v>
      </c>
      <c r="B4" s="40" t="s">
        <v>64</v>
      </c>
      <c r="C4" s="52">
        <f>IF(B4='Base Cenários'!M2,'Base Cenários'!N2,(IF('Cenário B.2.3'!B4='Base Cenários'!M3,'Base Cenários'!N3,'Base Cenários'!N4)))</f>
        <v>0.15</v>
      </c>
      <c r="D4" s="40" t="s">
        <v>41</v>
      </c>
      <c r="E4" s="40"/>
      <c r="F4" s="40"/>
      <c r="G4" s="40"/>
      <c r="H4" s="40"/>
      <c r="I4" s="39"/>
      <c r="J4" s="39"/>
    </row>
    <row r="5" spans="1:13" ht="12.75" thickBot="1">
      <c r="A5" s="10"/>
      <c r="B5" s="10"/>
      <c r="C5" s="10"/>
      <c r="D5" s="10"/>
      <c r="E5" s="10"/>
      <c r="F5" s="10"/>
      <c r="H5" s="10"/>
      <c r="I5" s="41"/>
      <c r="J5" s="41"/>
      <c r="K5" s="10"/>
      <c r="L5" s="10"/>
      <c r="M5" s="10"/>
    </row>
    <row r="6" spans="1:13">
      <c r="A6" s="154" t="s">
        <v>46</v>
      </c>
      <c r="B6" s="154"/>
      <c r="C6" s="154"/>
      <c r="D6" s="154"/>
      <c r="E6" s="154"/>
      <c r="F6" s="154"/>
      <c r="H6" s="154" t="s">
        <v>47</v>
      </c>
      <c r="I6" s="154"/>
      <c r="J6" s="154"/>
      <c r="K6" s="154"/>
      <c r="L6" s="154"/>
      <c r="M6" s="154"/>
    </row>
    <row r="7" spans="1:13" s="11" customFormat="1">
      <c r="A7" s="155" t="s">
        <v>45</v>
      </c>
      <c r="B7" s="35" t="s">
        <v>1</v>
      </c>
      <c r="C7" s="35" t="s">
        <v>2</v>
      </c>
      <c r="D7" s="35" t="s">
        <v>3</v>
      </c>
      <c r="E7" s="35" t="s">
        <v>4</v>
      </c>
      <c r="F7" s="35" t="s">
        <v>5</v>
      </c>
      <c r="H7" s="155" t="s">
        <v>45</v>
      </c>
      <c r="I7" s="35" t="s">
        <v>1</v>
      </c>
      <c r="J7" s="35" t="s">
        <v>2</v>
      </c>
      <c r="K7" s="35" t="s">
        <v>3</v>
      </c>
      <c r="L7" s="35" t="s">
        <v>4</v>
      </c>
      <c r="M7" s="35" t="s">
        <v>5</v>
      </c>
    </row>
    <row r="8" spans="1:13">
      <c r="A8" s="156"/>
      <c r="B8" s="144" t="s">
        <v>39</v>
      </c>
      <c r="C8" s="144"/>
      <c r="D8" s="144"/>
      <c r="E8" s="144"/>
      <c r="F8" s="144"/>
      <c r="H8" s="156"/>
      <c r="I8" s="144" t="s">
        <v>48</v>
      </c>
      <c r="J8" s="144"/>
      <c r="K8" s="144"/>
      <c r="L8" s="144"/>
      <c r="M8" s="144"/>
    </row>
    <row r="9" spans="1:13">
      <c r="A9" s="8" t="s">
        <v>11</v>
      </c>
      <c r="B9" s="9">
        <f t="shared" ref="B9:B14" si="0">Q28</f>
        <v>0</v>
      </c>
      <c r="C9" s="9">
        <f>M42</f>
        <v>0</v>
      </c>
      <c r="D9" s="9">
        <f>O54</f>
        <v>0</v>
      </c>
      <c r="E9" s="9">
        <f>L66</f>
        <v>0</v>
      </c>
      <c r="F9" s="9">
        <f>O78</f>
        <v>0</v>
      </c>
      <c r="H9" s="8" t="s">
        <v>11</v>
      </c>
      <c r="I9" s="53">
        <f>IF(Renda!B20&gt;0,B9/Renda!B20,0)</f>
        <v>0</v>
      </c>
      <c r="J9" s="53">
        <f>IF(Renda!C20&gt;0,C9/Renda!C20,0)</f>
        <v>0</v>
      </c>
      <c r="K9" s="53">
        <f>IF(Renda!D20&gt;0,D9/Renda!D20,0)</f>
        <v>0</v>
      </c>
      <c r="L9" s="53">
        <f>IF(Renda!E20&gt;0,E9/Renda!E20,0)</f>
        <v>0</v>
      </c>
      <c r="M9" s="53">
        <f>IF(Renda!F20&gt;0,F9/Renda!F20,0)</f>
        <v>0</v>
      </c>
    </row>
    <row r="10" spans="1:13">
      <c r="A10" s="8" t="s">
        <v>12</v>
      </c>
      <c r="B10" s="9">
        <f t="shared" si="0"/>
        <v>19486.655999999999</v>
      </c>
      <c r="C10" s="9">
        <f t="shared" ref="C10:C14" si="1">M43</f>
        <v>0</v>
      </c>
      <c r="D10" s="9">
        <f t="shared" ref="D10:D14" si="2">O55</f>
        <v>0</v>
      </c>
      <c r="E10" s="9">
        <f t="shared" ref="E10:E14" si="3">L67</f>
        <v>0</v>
      </c>
      <c r="F10" s="9">
        <f t="shared" ref="F10:F14" si="4">O79</f>
        <v>0</v>
      </c>
      <c r="H10" s="8" t="s">
        <v>12</v>
      </c>
      <c r="I10" s="53">
        <f>IF(Renda!B21&gt;0,B10/Renda!B21,0)</f>
        <v>1.3004505844565943E-3</v>
      </c>
      <c r="J10" s="53">
        <f>IF(Renda!C21&gt;0,C10/Renda!C21,0)</f>
        <v>0</v>
      </c>
      <c r="K10" s="53">
        <f>IF(Renda!D21&gt;0,D10/Renda!D21,0)</f>
        <v>0</v>
      </c>
      <c r="L10" s="53">
        <f>IF(Renda!E21&gt;0,E10/Renda!E21,0)</f>
        <v>0</v>
      </c>
      <c r="M10" s="53">
        <f>IF(Renda!F21&gt;0,F10/Renda!F21,0)</f>
        <v>0</v>
      </c>
    </row>
    <row r="11" spans="1:13">
      <c r="A11" s="8" t="s">
        <v>13</v>
      </c>
      <c r="B11" s="9">
        <f t="shared" si="0"/>
        <v>0</v>
      </c>
      <c r="C11" s="9">
        <f t="shared" si="1"/>
        <v>0</v>
      </c>
      <c r="D11" s="9">
        <f t="shared" si="2"/>
        <v>0</v>
      </c>
      <c r="E11" s="9">
        <f t="shared" si="3"/>
        <v>0</v>
      </c>
      <c r="F11" s="9">
        <f t="shared" si="4"/>
        <v>0</v>
      </c>
      <c r="H11" s="8" t="s">
        <v>13</v>
      </c>
      <c r="I11" s="53">
        <f>IF(Renda!B22&gt;0,B11/Renda!B22,0)</f>
        <v>0</v>
      </c>
      <c r="J11" s="53">
        <f>IF(Renda!C22&gt;0,C11/Renda!C22,0)</f>
        <v>0</v>
      </c>
      <c r="K11" s="53">
        <f>IF(Renda!D22&gt;0,D11/Renda!D22,0)</f>
        <v>0</v>
      </c>
      <c r="L11" s="53">
        <f>IF(Renda!E22&gt;0,E11/Renda!E22,0)</f>
        <v>0</v>
      </c>
      <c r="M11" s="53">
        <f>IF(Renda!F22&gt;0,F11/Renda!F22,0)</f>
        <v>0</v>
      </c>
    </row>
    <row r="12" spans="1:13">
      <c r="A12" s="8" t="s">
        <v>14</v>
      </c>
      <c r="B12" s="9">
        <f t="shared" si="0"/>
        <v>10627874.055774938</v>
      </c>
      <c r="C12" s="9">
        <f t="shared" si="1"/>
        <v>0</v>
      </c>
      <c r="D12" s="9">
        <f t="shared" si="2"/>
        <v>2598325.5327504659</v>
      </c>
      <c r="E12" s="9">
        <f t="shared" si="3"/>
        <v>831.59999999999991</v>
      </c>
      <c r="F12" s="9">
        <f t="shared" si="4"/>
        <v>19503589.774463996</v>
      </c>
      <c r="H12" s="8" t="s">
        <v>14</v>
      </c>
      <c r="I12" s="53">
        <f>IF(Renda!B23&gt;0,B12/Renda!B23,0)</f>
        <v>0.12502836939086484</v>
      </c>
      <c r="J12" s="53">
        <f>IF(Renda!C23&gt;0,C12/Renda!C23,0)</f>
        <v>0</v>
      </c>
      <c r="K12" s="53">
        <f>IF(Renda!D23&gt;0,D12/Renda!D23,0)</f>
        <v>4.2391551940865576E-4</v>
      </c>
      <c r="L12" s="53">
        <f>IF(Renda!E23&gt;0,E12/Renda!E23,0)</f>
        <v>9.948655990807839E-6</v>
      </c>
      <c r="M12" s="53">
        <f>IF(Renda!F23&gt;0,F12/Renda!F23,0)</f>
        <v>6.7394032353607402E-3</v>
      </c>
    </row>
    <row r="13" spans="1:13">
      <c r="A13" s="8" t="s">
        <v>15</v>
      </c>
      <c r="B13" s="9">
        <f t="shared" si="0"/>
        <v>20512.655999999999</v>
      </c>
      <c r="C13" s="9">
        <f t="shared" si="1"/>
        <v>308284.07039999997</v>
      </c>
      <c r="D13" s="9">
        <f t="shared" si="2"/>
        <v>0</v>
      </c>
      <c r="E13" s="9">
        <f t="shared" si="3"/>
        <v>860.73750000000007</v>
      </c>
      <c r="F13" s="9">
        <f t="shared" si="4"/>
        <v>0</v>
      </c>
      <c r="H13" s="8" t="s">
        <v>15</v>
      </c>
      <c r="I13" s="53">
        <f>IF(Renda!B24&gt;0,B13/Renda!B24,0)</f>
        <v>9.2481610828096111E-3</v>
      </c>
      <c r="J13" s="53">
        <f>IF(Renda!C24&gt;0,C13/Renda!C24,0)</f>
        <v>0.22577462878641469</v>
      </c>
      <c r="K13" s="53">
        <f>IF(Renda!D24&gt;0,D13/Renda!D24,0)</f>
        <v>0</v>
      </c>
      <c r="L13" s="53">
        <f>IF(Renda!E24&gt;0,E13/Renda!E24,0)</f>
        <v>5.9700364121788417E-6</v>
      </c>
      <c r="M13" s="53">
        <f>IF(Renda!F24&gt;0,F13/Renda!F24,0)</f>
        <v>0</v>
      </c>
    </row>
    <row r="14" spans="1:13">
      <c r="A14" s="8" t="s">
        <v>16</v>
      </c>
      <c r="B14" s="9">
        <f t="shared" si="0"/>
        <v>286999.249771134</v>
      </c>
      <c r="C14" s="9">
        <f t="shared" si="1"/>
        <v>0</v>
      </c>
      <c r="D14" s="9">
        <f t="shared" si="2"/>
        <v>14663.279999999999</v>
      </c>
      <c r="E14" s="9">
        <f t="shared" si="3"/>
        <v>1126.125</v>
      </c>
      <c r="F14" s="9">
        <f t="shared" si="4"/>
        <v>0</v>
      </c>
      <c r="H14" s="8" t="s">
        <v>16</v>
      </c>
      <c r="I14" s="53">
        <f>IF(Renda!B25&gt;0,B14/Renda!B25,0)</f>
        <v>5.8221245161482922E-3</v>
      </c>
      <c r="J14" s="53">
        <f>IF(Renda!C25&gt;0,C14/Renda!C25,0)</f>
        <v>0</v>
      </c>
      <c r="K14" s="53">
        <f>IF(Renda!D25&gt;0,D14/Renda!D25,0)</f>
        <v>3.110129020088384E-6</v>
      </c>
      <c r="L14" s="53">
        <f>IF(Renda!E25&gt;0,E14/Renda!E25,0)</f>
        <v>7.1482594259160195E-5</v>
      </c>
      <c r="M14" s="53">
        <f>IF(Renda!F25&gt;0,F14/Renda!F25,0)</f>
        <v>0</v>
      </c>
    </row>
    <row r="15" spans="1:13" ht="12.75" thickBot="1">
      <c r="A15" s="36" t="s">
        <v>17</v>
      </c>
      <c r="B15" s="37">
        <f>SUM(B9:B14)</f>
        <v>10954872.61754607</v>
      </c>
      <c r="C15" s="37">
        <f t="shared" ref="C15:E15" si="5">SUM(C9:C14)</f>
        <v>308284.07039999997</v>
      </c>
      <c r="D15" s="37">
        <f t="shared" si="5"/>
        <v>2612988.8127504657</v>
      </c>
      <c r="E15" s="37">
        <f t="shared" si="5"/>
        <v>2818.4625000000001</v>
      </c>
      <c r="F15" s="37">
        <f>SUM(F9:F14)</f>
        <v>19503589.774463996</v>
      </c>
      <c r="H15" s="36" t="s">
        <v>17</v>
      </c>
      <c r="I15" s="54">
        <f>IF(B15&gt;0,B15/Renda!B26,0)</f>
        <v>7.1574819404878989E-2</v>
      </c>
      <c r="J15" s="54">
        <f>IF(C15&gt;0,C15/Renda!C26,0)</f>
        <v>0.20395866647888508</v>
      </c>
      <c r="K15" s="54">
        <f>IF(D15&gt;0,D15/Renda!D26,0)</f>
        <v>1.9518884855513276E-4</v>
      </c>
      <c r="L15" s="54">
        <f>IF(E15&gt;0,E15/Renda!E26,0)</f>
        <v>9.4966818211161918E-6</v>
      </c>
      <c r="M15" s="54">
        <f>IF(F15&gt;0,F15/Renda!F26,0)</f>
        <v>6.7394032353607402E-3</v>
      </c>
    </row>
    <row r="16" spans="1:13">
      <c r="A16" s="43"/>
      <c r="B16" s="73"/>
      <c r="C16" s="73"/>
      <c r="D16" s="73"/>
      <c r="E16" s="73"/>
      <c r="F16" s="73"/>
      <c r="H16" s="43"/>
      <c r="I16" s="74"/>
      <c r="J16" s="74"/>
      <c r="K16" s="74"/>
      <c r="L16" s="74"/>
      <c r="M16" s="74"/>
    </row>
    <row r="17" spans="1:17">
      <c r="A17" s="43"/>
      <c r="B17" s="73"/>
      <c r="C17" s="73"/>
      <c r="D17" s="73"/>
      <c r="E17" s="73"/>
      <c r="F17" s="73"/>
      <c r="H17" s="43"/>
      <c r="I17" s="74"/>
      <c r="J17" s="74"/>
      <c r="K17" s="74"/>
      <c r="L17" s="74"/>
      <c r="M17" s="74"/>
    </row>
    <row r="18" spans="1:17">
      <c r="A18" s="43" t="s">
        <v>49</v>
      </c>
      <c r="B18" s="73"/>
      <c r="C18" s="73"/>
      <c r="D18" s="73"/>
      <c r="E18" s="73"/>
      <c r="F18" s="73"/>
      <c r="H18" s="43"/>
      <c r="I18" s="74"/>
      <c r="J18" s="74"/>
      <c r="K18" s="74"/>
      <c r="L18" s="74"/>
      <c r="M18" s="74"/>
    </row>
    <row r="19" spans="1:17">
      <c r="A19" s="43"/>
      <c r="B19" s="73"/>
      <c r="C19" s="73"/>
      <c r="D19" s="73"/>
      <c r="E19" s="73"/>
      <c r="F19" s="73"/>
      <c r="H19" s="43"/>
      <c r="I19" s="74"/>
      <c r="J19" s="74"/>
      <c r="K19" s="74"/>
      <c r="L19" s="74"/>
      <c r="M19" s="74"/>
    </row>
    <row r="20" spans="1:17">
      <c r="A20" s="43"/>
      <c r="B20" s="73"/>
      <c r="C20" s="73"/>
      <c r="D20" s="73"/>
      <c r="E20" s="73"/>
      <c r="F20" s="73"/>
      <c r="H20" s="43"/>
      <c r="I20" s="74"/>
      <c r="J20" s="74"/>
      <c r="K20" s="74"/>
      <c r="L20" s="74"/>
      <c r="M20" s="74"/>
    </row>
    <row r="24" spans="1:17" ht="12.75" thickBot="1">
      <c r="A24" s="46"/>
      <c r="B24" s="10"/>
      <c r="C24" s="10"/>
      <c r="D24" s="10"/>
      <c r="E24" s="10"/>
      <c r="F24" s="10"/>
      <c r="G24" s="10"/>
      <c r="H24" s="10"/>
      <c r="I24" s="41"/>
      <c r="J24" s="41"/>
      <c r="K24" s="10"/>
      <c r="L24" s="10"/>
      <c r="M24" s="10"/>
      <c r="N24" s="10"/>
      <c r="O24" s="10"/>
      <c r="P24" s="10"/>
      <c r="Q24" s="10"/>
    </row>
    <row r="25" spans="1:17" ht="15.75" customHeight="1" thickBot="1">
      <c r="A25" s="157" t="s">
        <v>42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</row>
    <row r="26" spans="1:17" ht="36.75" customHeight="1" thickBot="1">
      <c r="A26" s="158" t="s">
        <v>36</v>
      </c>
      <c r="B26" s="160" t="s">
        <v>37</v>
      </c>
      <c r="C26" s="160"/>
      <c r="D26" s="160"/>
      <c r="E26" s="160"/>
      <c r="F26" s="160"/>
      <c r="G26" s="161" t="s">
        <v>86</v>
      </c>
      <c r="H26" s="161"/>
      <c r="I26" s="161"/>
      <c r="J26" s="161"/>
      <c r="K26" s="162" t="s">
        <v>88</v>
      </c>
      <c r="L26" s="162"/>
      <c r="M26" s="83" t="s">
        <v>91</v>
      </c>
      <c r="N26" s="163" t="s">
        <v>82</v>
      </c>
      <c r="O26" s="163"/>
      <c r="P26" s="163"/>
      <c r="Q26" s="163"/>
    </row>
    <row r="27" spans="1:17" ht="24.75" thickBot="1">
      <c r="A27" s="159"/>
      <c r="B27" s="44" t="s">
        <v>38</v>
      </c>
      <c r="C27" s="44" t="s">
        <v>87</v>
      </c>
      <c r="D27" s="44" t="s">
        <v>89</v>
      </c>
      <c r="E27" s="44" t="s">
        <v>90</v>
      </c>
      <c r="F27" s="44" t="s">
        <v>97</v>
      </c>
      <c r="G27" s="80" t="s">
        <v>99</v>
      </c>
      <c r="H27" s="80" t="s">
        <v>94</v>
      </c>
      <c r="I27" s="80" t="s">
        <v>95</v>
      </c>
      <c r="J27" s="80" t="s">
        <v>98</v>
      </c>
      <c r="K27" s="91" t="s">
        <v>96</v>
      </c>
      <c r="L27" s="91" t="s">
        <v>98</v>
      </c>
      <c r="M27" s="84" t="s">
        <v>92</v>
      </c>
      <c r="N27" s="88" t="s">
        <v>83</v>
      </c>
      <c r="O27" s="88" t="s">
        <v>84</v>
      </c>
      <c r="P27" s="88" t="s">
        <v>85</v>
      </c>
      <c r="Q27" s="88" t="s">
        <v>93</v>
      </c>
    </row>
    <row r="28" spans="1:17">
      <c r="A28" s="8" t="s">
        <v>11</v>
      </c>
      <c r="B28" s="50">
        <f>IF(B$3='Base Cenários'!A$3,'Base Cenários'!B7,(IF(B$3='Base Cenários'!A$14,'Base Cenários'!B18,'Base Cenários'!B29)))</f>
        <v>0</v>
      </c>
      <c r="C28" s="45">
        <f>B28*24*60*60*365</f>
        <v>0</v>
      </c>
      <c r="D28" s="76">
        <v>1</v>
      </c>
      <c r="E28" s="78">
        <v>1</v>
      </c>
      <c r="F28" s="92">
        <f>C$4</f>
        <v>0.15</v>
      </c>
      <c r="G28" s="81">
        <v>0.5</v>
      </c>
      <c r="H28" s="81">
        <f t="shared" ref="H28:H33" si="6">C28</f>
        <v>0</v>
      </c>
      <c r="I28" s="81">
        <v>0</v>
      </c>
      <c r="J28" s="95">
        <f>C$4</f>
        <v>0.15</v>
      </c>
      <c r="K28" s="47">
        <f>IF(B$3='Base Cenários'!A$3,'Base Cenários'!I7,(IF(B$3='Base Cenários'!A$14,'Base Cenários'!I18,'Base Cenários'!I29)))</f>
        <v>0</v>
      </c>
      <c r="L28" s="47">
        <f>C$4</f>
        <v>0.15</v>
      </c>
      <c r="M28" s="85">
        <v>1</v>
      </c>
      <c r="N28" s="89">
        <f>C28*D28*E28*F28</f>
        <v>0</v>
      </c>
      <c r="O28" s="89">
        <f>IF(H28&gt;0,(H28-I28)*J28*(C28/H28)*G28,0)</f>
        <v>0</v>
      </c>
      <c r="P28" s="89">
        <f>K28*L28</f>
        <v>0</v>
      </c>
      <c r="Q28" s="89">
        <f>(N28+O28+P28)*M28</f>
        <v>0</v>
      </c>
    </row>
    <row r="29" spans="1:17">
      <c r="A29" s="8" t="s">
        <v>12</v>
      </c>
      <c r="B29" s="50">
        <f>IF(B$3='Base Cenários'!A$3,'Base Cenários'!B8,(IF(B$3='Base Cenários'!A$14,'Base Cenários'!B19,'Base Cenários'!B30)))</f>
        <v>2.7463013698630135E-3</v>
      </c>
      <c r="C29" s="45">
        <f t="shared" ref="C29:C33" si="7">B29*24*60*60*365</f>
        <v>86607.360000000001</v>
      </c>
      <c r="D29" s="76">
        <v>1</v>
      </c>
      <c r="E29" s="78">
        <v>1</v>
      </c>
      <c r="F29" s="92">
        <f t="shared" ref="F29:F33" si="8">C$4</f>
        <v>0.15</v>
      </c>
      <c r="G29" s="81">
        <v>0.5</v>
      </c>
      <c r="H29" s="81">
        <f t="shared" si="6"/>
        <v>86607.360000000001</v>
      </c>
      <c r="I29" s="81">
        <v>0</v>
      </c>
      <c r="J29" s="95">
        <f t="shared" ref="J29:J33" si="9">C$4</f>
        <v>0.15</v>
      </c>
      <c r="K29" s="47">
        <f>IF(B$3='Base Cenários'!A$3,'Base Cenários'!I8,(IF(B$3='Base Cenários'!A$14,'Base Cenários'!I19,'Base Cenários'!I30)))</f>
        <v>0</v>
      </c>
      <c r="L29" s="47">
        <f t="shared" ref="L29:L33" si="10">C$4</f>
        <v>0.15</v>
      </c>
      <c r="M29" s="85">
        <v>1</v>
      </c>
      <c r="N29" s="89">
        <f>C29*D29*E29*F29</f>
        <v>12991.103999999999</v>
      </c>
      <c r="O29" s="89">
        <f t="shared" ref="O29:O33" si="11">IF(H29&gt;0,(H29-I29)*J29*(C29/H29)*G29,0)</f>
        <v>6495.5519999999997</v>
      </c>
      <c r="P29" s="89">
        <f t="shared" ref="P29:P33" si="12">K29*L29</f>
        <v>0</v>
      </c>
      <c r="Q29" s="89">
        <f t="shared" ref="Q29:Q33" si="13">(N29+O29+P29)*M29</f>
        <v>19486.655999999999</v>
      </c>
    </row>
    <row r="30" spans="1:17">
      <c r="A30" s="8" t="s">
        <v>13</v>
      </c>
      <c r="B30" s="50">
        <f>IF(B$3='Base Cenários'!A$3,'Base Cenários'!B9,(IF(B$3='Base Cenários'!A$14,'Base Cenários'!B20,'Base Cenários'!B31)))</f>
        <v>0</v>
      </c>
      <c r="C30" s="45">
        <f t="shared" si="7"/>
        <v>0</v>
      </c>
      <c r="D30" s="76">
        <v>1</v>
      </c>
      <c r="E30" s="78">
        <v>0.85</v>
      </c>
      <c r="F30" s="92">
        <f t="shared" si="8"/>
        <v>0.15</v>
      </c>
      <c r="G30" s="81">
        <v>0.5</v>
      </c>
      <c r="H30" s="81">
        <f t="shared" si="6"/>
        <v>0</v>
      </c>
      <c r="I30" s="81">
        <v>0</v>
      </c>
      <c r="J30" s="95">
        <f t="shared" si="9"/>
        <v>0.15</v>
      </c>
      <c r="K30" s="47">
        <f>IF(B$3='Base Cenários'!A$3,'Base Cenários'!I9,(IF(B$3='Base Cenários'!A$14,'Base Cenários'!I20,'Base Cenários'!I31)))</f>
        <v>0</v>
      </c>
      <c r="L30" s="47">
        <f t="shared" si="10"/>
        <v>0.15</v>
      </c>
      <c r="M30" s="85">
        <v>1</v>
      </c>
      <c r="N30" s="89">
        <f t="shared" ref="N30:N33" si="14">C30*D30*E30*F30</f>
        <v>0</v>
      </c>
      <c r="O30" s="89">
        <f t="shared" si="11"/>
        <v>0</v>
      </c>
      <c r="P30" s="89">
        <f t="shared" si="12"/>
        <v>0</v>
      </c>
      <c r="Q30" s="89">
        <f t="shared" si="13"/>
        <v>0</v>
      </c>
    </row>
    <row r="31" spans="1:17">
      <c r="A31" s="8" t="s">
        <v>14</v>
      </c>
      <c r="B31" s="50">
        <f>IF(B$3='Base Cenários'!A$3,'Base Cenários'!B10,(IF(B$3='Base Cenários'!A$14,'Base Cenários'!B21,'Base Cenários'!B32)))</f>
        <v>1.5378496004566211</v>
      </c>
      <c r="C31" s="45">
        <f t="shared" si="7"/>
        <v>48497625.000000007</v>
      </c>
      <c r="D31" s="76">
        <v>1</v>
      </c>
      <c r="E31" s="78">
        <v>0.95</v>
      </c>
      <c r="F31" s="92">
        <f t="shared" si="8"/>
        <v>0.15</v>
      </c>
      <c r="G31" s="81">
        <v>0.5</v>
      </c>
      <c r="H31" s="81">
        <f t="shared" si="6"/>
        <v>48497625.000000007</v>
      </c>
      <c r="I31" s="81">
        <v>0</v>
      </c>
      <c r="J31" s="95">
        <f t="shared" si="9"/>
        <v>0.15</v>
      </c>
      <c r="K31" s="47">
        <f>IF(B$3='Base Cenários'!A$3,'Base Cenários'!I10,(IF(B$3='Base Cenários'!A$14,'Base Cenários'!I21,'Base Cenários'!I32)))</f>
        <v>530937.45516624604</v>
      </c>
      <c r="L31" s="47">
        <f t="shared" si="10"/>
        <v>0.15</v>
      </c>
      <c r="M31" s="85">
        <v>1</v>
      </c>
      <c r="N31" s="89">
        <f t="shared" si="14"/>
        <v>6910911.5625000009</v>
      </c>
      <c r="O31" s="89">
        <f t="shared" si="11"/>
        <v>3637321.8750000005</v>
      </c>
      <c r="P31" s="89">
        <f t="shared" si="12"/>
        <v>79640.618274936904</v>
      </c>
      <c r="Q31" s="89">
        <f t="shared" si="13"/>
        <v>10627874.055774938</v>
      </c>
    </row>
    <row r="32" spans="1:17">
      <c r="A32" s="8" t="s">
        <v>15</v>
      </c>
      <c r="B32" s="50">
        <f>IF(B$3='Base Cenários'!A$3,'Base Cenários'!B11,(IF(B$3='Base Cenários'!A$14,'Base Cenários'!B22,'Base Cenários'!B33)))</f>
        <v>2.5337899543378998E-3</v>
      </c>
      <c r="C32" s="45">
        <f t="shared" si="7"/>
        <v>79905.600000000006</v>
      </c>
      <c r="D32" s="76">
        <v>1</v>
      </c>
      <c r="E32" s="78">
        <v>0.9</v>
      </c>
      <c r="F32" s="92">
        <f t="shared" si="8"/>
        <v>0.15</v>
      </c>
      <c r="G32" s="81">
        <v>0.5</v>
      </c>
      <c r="H32" s="81">
        <f t="shared" si="6"/>
        <v>79905.600000000006</v>
      </c>
      <c r="I32" s="81">
        <v>0</v>
      </c>
      <c r="J32" s="95">
        <f t="shared" si="9"/>
        <v>0.15</v>
      </c>
      <c r="K32" s="47">
        <f>IF(B$3='Base Cenários'!A$3,'Base Cenários'!I11,(IF(B$3='Base Cenários'!A$14,'Base Cenários'!I22,'Base Cenários'!I33)))</f>
        <v>24883.200000000001</v>
      </c>
      <c r="L32" s="47">
        <f t="shared" si="10"/>
        <v>0.15</v>
      </c>
      <c r="M32" s="85">
        <v>1</v>
      </c>
      <c r="N32" s="89">
        <f t="shared" si="14"/>
        <v>10787.256000000001</v>
      </c>
      <c r="O32" s="89">
        <f t="shared" si="11"/>
        <v>5992.92</v>
      </c>
      <c r="P32" s="89">
        <f t="shared" si="12"/>
        <v>3732.48</v>
      </c>
      <c r="Q32" s="89">
        <f t="shared" si="13"/>
        <v>20512.655999999999</v>
      </c>
    </row>
    <row r="33" spans="1:17" ht="12.75" thickBot="1">
      <c r="A33" s="10" t="s">
        <v>16</v>
      </c>
      <c r="B33" s="51">
        <f>IF(B$3='Base Cenários'!A$3,'Base Cenários'!B12,(IF(B$3='Base Cenários'!A$14,'Base Cenários'!B23,'Base Cenários'!B34)))</f>
        <v>3.9222222222222193E-2</v>
      </c>
      <c r="C33" s="51">
        <f t="shared" si="7"/>
        <v>1236911.9999999991</v>
      </c>
      <c r="D33" s="77">
        <v>1</v>
      </c>
      <c r="E33" s="79">
        <v>1</v>
      </c>
      <c r="F33" s="93">
        <f t="shared" si="8"/>
        <v>0.15</v>
      </c>
      <c r="G33" s="82">
        <v>0.5</v>
      </c>
      <c r="H33" s="82">
        <f t="shared" si="6"/>
        <v>1236911.9999999991</v>
      </c>
      <c r="I33" s="82">
        <v>0</v>
      </c>
      <c r="J33" s="96">
        <f t="shared" si="9"/>
        <v>0.15</v>
      </c>
      <c r="K33" s="48">
        <f>IF(B$3='Base Cenários'!A$3,'Base Cenários'!I12,(IF(B$3='Base Cenários'!A$14,'Base Cenários'!I23,'Base Cenários'!I34)))</f>
        <v>57960.331807561641</v>
      </c>
      <c r="L33" s="48">
        <f t="shared" si="10"/>
        <v>0.15</v>
      </c>
      <c r="M33" s="86">
        <v>1</v>
      </c>
      <c r="N33" s="90">
        <f t="shared" si="14"/>
        <v>185536.79999999984</v>
      </c>
      <c r="O33" s="90">
        <f t="shared" si="11"/>
        <v>92768.399999999921</v>
      </c>
      <c r="P33" s="90">
        <f t="shared" si="12"/>
        <v>8694.049771134245</v>
      </c>
      <c r="Q33" s="90">
        <f t="shared" si="13"/>
        <v>286999.249771134</v>
      </c>
    </row>
    <row r="34" spans="1:17" ht="12.75" thickBot="1">
      <c r="I34" s="8"/>
      <c r="M34" s="42"/>
      <c r="P34" s="46" t="s">
        <v>40</v>
      </c>
      <c r="Q34" s="94">
        <f>SUM(Q28:Q33)</f>
        <v>10954872.61754607</v>
      </c>
    </row>
    <row r="35" spans="1:17">
      <c r="I35" s="8"/>
      <c r="M35" s="42"/>
      <c r="P35" s="43"/>
      <c r="Q35" s="73"/>
    </row>
    <row r="36" spans="1:17">
      <c r="I36" s="8"/>
      <c r="M36" s="42"/>
      <c r="P36" s="43"/>
      <c r="Q36" s="73"/>
    </row>
    <row r="37" spans="1:17">
      <c r="I37" s="8"/>
      <c r="M37" s="42"/>
      <c r="P37" s="43"/>
      <c r="Q37" s="73"/>
    </row>
    <row r="38" spans="1:17" ht="12.75" thickBot="1">
      <c r="A38" s="10"/>
      <c r="B38" s="10"/>
      <c r="C38" s="10"/>
      <c r="D38" s="10"/>
      <c r="E38" s="10"/>
      <c r="F38" s="10"/>
      <c r="G38" s="10"/>
      <c r="H38" s="10"/>
      <c r="I38" s="10"/>
      <c r="J38" s="41"/>
      <c r="K38" s="10"/>
      <c r="L38" s="10"/>
      <c r="M38" s="41"/>
    </row>
    <row r="39" spans="1:17" ht="15.75" customHeight="1" thickBot="1">
      <c r="A39" s="157" t="s">
        <v>43</v>
      </c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</row>
    <row r="40" spans="1:17" ht="15.75" customHeight="1" thickBot="1">
      <c r="A40" s="158" t="s">
        <v>36</v>
      </c>
      <c r="B40" s="160" t="s">
        <v>37</v>
      </c>
      <c r="C40" s="160"/>
      <c r="D40" s="160"/>
      <c r="E40" s="160"/>
      <c r="F40" s="161" t="s">
        <v>86</v>
      </c>
      <c r="G40" s="161"/>
      <c r="H40" s="161"/>
      <c r="I40" s="83" t="s">
        <v>91</v>
      </c>
      <c r="J40" s="97" t="s">
        <v>101</v>
      </c>
      <c r="K40" s="163" t="s">
        <v>82</v>
      </c>
      <c r="L40" s="163"/>
      <c r="M40" s="163"/>
    </row>
    <row r="41" spans="1:17" ht="12.75" thickBot="1">
      <c r="A41" s="159"/>
      <c r="B41" s="44" t="s">
        <v>38</v>
      </c>
      <c r="C41" s="44" t="s">
        <v>87</v>
      </c>
      <c r="D41" s="44" t="s">
        <v>89</v>
      </c>
      <c r="E41" s="44" t="s">
        <v>97</v>
      </c>
      <c r="F41" s="80" t="s">
        <v>94</v>
      </c>
      <c r="G41" s="80" t="s">
        <v>95</v>
      </c>
      <c r="H41" s="80" t="s">
        <v>98</v>
      </c>
      <c r="I41" s="84" t="s">
        <v>92</v>
      </c>
      <c r="J41" s="87" t="s">
        <v>102</v>
      </c>
      <c r="K41" s="88" t="s">
        <v>83</v>
      </c>
      <c r="L41" s="88" t="s">
        <v>84</v>
      </c>
      <c r="M41" s="88" t="s">
        <v>93</v>
      </c>
    </row>
    <row r="42" spans="1:17">
      <c r="A42" s="8" t="s">
        <v>11</v>
      </c>
      <c r="B42" s="50">
        <f>IF(B$3='Base Cenários'!A$3,'Base Cenários'!C7,(IF(B$3='Base Cenários'!A$14,'Base Cenários'!C18,'Base Cenários'!C29)))</f>
        <v>0</v>
      </c>
      <c r="C42" s="45">
        <f>B42*24*60*60*365</f>
        <v>0</v>
      </c>
      <c r="D42" s="76">
        <v>1</v>
      </c>
      <c r="E42" s="92">
        <f>C$4</f>
        <v>0.15</v>
      </c>
      <c r="F42" s="81">
        <f t="shared" ref="F42:F47" si="15">C42</f>
        <v>0</v>
      </c>
      <c r="G42" s="81">
        <v>0</v>
      </c>
      <c r="H42" s="95">
        <f>C$4</f>
        <v>0.15</v>
      </c>
      <c r="I42" s="85">
        <v>1</v>
      </c>
      <c r="J42" s="98">
        <v>0.1</v>
      </c>
      <c r="K42" s="89">
        <f t="shared" ref="K42:K47" si="16">C42*D42*E42</f>
        <v>0</v>
      </c>
      <c r="L42" s="89">
        <f t="shared" ref="L42:L47" si="17">IF(F42&gt;0,(F42-G42)*H42*(C42/F42),0)</f>
        <v>0</v>
      </c>
      <c r="M42" s="89">
        <f>(K42+L42)*I42*J42</f>
        <v>0</v>
      </c>
    </row>
    <row r="43" spans="1:17">
      <c r="A43" s="8" t="s">
        <v>12</v>
      </c>
      <c r="B43" s="50">
        <f>IF(B$3='Base Cenários'!A$3,'Base Cenários'!C8,(IF(B$3='Base Cenários'!A$14,'Base Cenários'!C19,'Base Cenários'!C30)))</f>
        <v>0</v>
      </c>
      <c r="C43" s="45">
        <f t="shared" ref="C43:C47" si="18">B43*24*60*60*365</f>
        <v>0</v>
      </c>
      <c r="D43" s="76">
        <v>1</v>
      </c>
      <c r="E43" s="92">
        <f t="shared" ref="E43:E47" si="19">C$4</f>
        <v>0.15</v>
      </c>
      <c r="F43" s="81">
        <f t="shared" si="15"/>
        <v>0</v>
      </c>
      <c r="G43" s="81">
        <v>0</v>
      </c>
      <c r="H43" s="95">
        <f t="shared" ref="H43:H47" si="20">C$4</f>
        <v>0.15</v>
      </c>
      <c r="I43" s="85">
        <v>1</v>
      </c>
      <c r="J43" s="98">
        <v>0.1</v>
      </c>
      <c r="K43" s="89">
        <f t="shared" si="16"/>
        <v>0</v>
      </c>
      <c r="L43" s="89">
        <f t="shared" si="17"/>
        <v>0</v>
      </c>
      <c r="M43" s="89">
        <f t="shared" ref="M43:M47" si="21">(K43+L43)*I43*J43</f>
        <v>0</v>
      </c>
    </row>
    <row r="44" spans="1:17">
      <c r="A44" s="8" t="s">
        <v>13</v>
      </c>
      <c r="B44" s="50">
        <f>IF(B$3='Base Cenários'!A$3,'Base Cenários'!C9,(IF(B$3='Base Cenários'!A$14,'Base Cenários'!C20,'Base Cenários'!C31)))</f>
        <v>0</v>
      </c>
      <c r="C44" s="45">
        <f t="shared" si="18"/>
        <v>0</v>
      </c>
      <c r="D44" s="76">
        <v>1</v>
      </c>
      <c r="E44" s="92">
        <f t="shared" si="19"/>
        <v>0.15</v>
      </c>
      <c r="F44" s="81">
        <f t="shared" si="15"/>
        <v>0</v>
      </c>
      <c r="G44" s="81">
        <v>0</v>
      </c>
      <c r="H44" s="95">
        <f t="shared" si="20"/>
        <v>0.15</v>
      </c>
      <c r="I44" s="85">
        <v>1</v>
      </c>
      <c r="J44" s="98">
        <v>0.1</v>
      </c>
      <c r="K44" s="89">
        <f t="shared" si="16"/>
        <v>0</v>
      </c>
      <c r="L44" s="89">
        <f t="shared" si="17"/>
        <v>0</v>
      </c>
      <c r="M44" s="89">
        <f t="shared" si="21"/>
        <v>0</v>
      </c>
    </row>
    <row r="45" spans="1:17">
      <c r="A45" s="8" t="s">
        <v>14</v>
      </c>
      <c r="B45" s="50">
        <f>IF(B$3='Base Cenários'!A$3,'Base Cenários'!C10,(IF(B$3='Base Cenários'!A$14,'Base Cenários'!C21,'Base Cenários'!C32)))</f>
        <v>0</v>
      </c>
      <c r="C45" s="45">
        <f t="shared" si="18"/>
        <v>0</v>
      </c>
      <c r="D45" s="76">
        <v>1</v>
      </c>
      <c r="E45" s="92">
        <f t="shared" si="19"/>
        <v>0.15</v>
      </c>
      <c r="F45" s="81">
        <f t="shared" si="15"/>
        <v>0</v>
      </c>
      <c r="G45" s="81">
        <v>0</v>
      </c>
      <c r="H45" s="95">
        <f t="shared" si="20"/>
        <v>0.15</v>
      </c>
      <c r="I45" s="85">
        <v>1</v>
      </c>
      <c r="J45" s="98">
        <v>0.1</v>
      </c>
      <c r="K45" s="89">
        <f t="shared" si="16"/>
        <v>0</v>
      </c>
      <c r="L45" s="89">
        <f t="shared" si="17"/>
        <v>0</v>
      </c>
      <c r="M45" s="89">
        <f t="shared" si="21"/>
        <v>0</v>
      </c>
    </row>
    <row r="46" spans="1:17">
      <c r="A46" s="8" t="s">
        <v>15</v>
      </c>
      <c r="B46" s="50">
        <f>IF(B$3='Base Cenários'!A$3,'Base Cenários'!C11,(IF(B$3='Base Cenários'!A$14,'Base Cenários'!C22,'Base Cenários'!C33)))</f>
        <v>0.32585412480974124</v>
      </c>
      <c r="C46" s="45">
        <f t="shared" si="18"/>
        <v>10276135.679999998</v>
      </c>
      <c r="D46" s="76">
        <v>1</v>
      </c>
      <c r="E46" s="92">
        <f t="shared" si="19"/>
        <v>0.15</v>
      </c>
      <c r="F46" s="81">
        <f t="shared" si="15"/>
        <v>10276135.679999998</v>
      </c>
      <c r="G46" s="81">
        <v>0</v>
      </c>
      <c r="H46" s="95">
        <f t="shared" si="20"/>
        <v>0.15</v>
      </c>
      <c r="I46" s="85">
        <v>1</v>
      </c>
      <c r="J46" s="98">
        <v>0.1</v>
      </c>
      <c r="K46" s="89">
        <f t="shared" si="16"/>
        <v>1541420.3519999997</v>
      </c>
      <c r="L46" s="89">
        <f t="shared" si="17"/>
        <v>1541420.3519999997</v>
      </c>
      <c r="M46" s="89">
        <f t="shared" si="21"/>
        <v>308284.07039999997</v>
      </c>
    </row>
    <row r="47" spans="1:17" ht="12.75" thickBot="1">
      <c r="A47" s="10" t="s">
        <v>16</v>
      </c>
      <c r="B47" s="51">
        <f>IF(B$3='Base Cenários'!A$3,'Base Cenários'!C12,(IF(B$3='Base Cenários'!A$14,'Base Cenários'!C23,'Base Cenários'!C34)))</f>
        <v>0</v>
      </c>
      <c r="C47" s="51">
        <f t="shared" si="18"/>
        <v>0</v>
      </c>
      <c r="D47" s="77">
        <v>1</v>
      </c>
      <c r="E47" s="93">
        <f t="shared" si="19"/>
        <v>0.15</v>
      </c>
      <c r="F47" s="82">
        <f t="shared" si="15"/>
        <v>0</v>
      </c>
      <c r="G47" s="82">
        <v>0</v>
      </c>
      <c r="H47" s="96">
        <f t="shared" si="20"/>
        <v>0.15</v>
      </c>
      <c r="I47" s="86">
        <v>1</v>
      </c>
      <c r="J47" s="99">
        <v>0.1</v>
      </c>
      <c r="K47" s="90">
        <f t="shared" si="16"/>
        <v>0</v>
      </c>
      <c r="L47" s="90">
        <f t="shared" si="17"/>
        <v>0</v>
      </c>
      <c r="M47" s="90">
        <f t="shared" si="21"/>
        <v>0</v>
      </c>
    </row>
    <row r="48" spans="1:17" ht="12.75" thickBot="1">
      <c r="L48" s="46" t="s">
        <v>40</v>
      </c>
      <c r="M48" s="94">
        <f>SUM(M42:M47)</f>
        <v>308284.07039999997</v>
      </c>
    </row>
    <row r="50" spans="1:15" ht="12.75" thickBot="1">
      <c r="A50" s="10"/>
      <c r="B50" s="10"/>
      <c r="C50" s="10"/>
      <c r="D50" s="10"/>
      <c r="E50" s="10"/>
      <c r="F50" s="10"/>
      <c r="G50" s="10"/>
      <c r="H50" s="10"/>
      <c r="I50" s="41"/>
      <c r="J50" s="41"/>
      <c r="K50" s="10"/>
      <c r="L50" s="10"/>
      <c r="M50" s="10"/>
      <c r="N50" s="10"/>
      <c r="O50" s="10"/>
    </row>
    <row r="51" spans="1:15" ht="15.75" customHeight="1" thickBot="1">
      <c r="A51" s="165" t="s">
        <v>3</v>
      </c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</row>
    <row r="52" spans="1:15" ht="15.75" customHeight="1" thickBot="1">
      <c r="A52" s="158" t="s">
        <v>36</v>
      </c>
      <c r="B52" s="75" t="s">
        <v>37</v>
      </c>
      <c r="C52" s="75"/>
      <c r="D52" s="75"/>
      <c r="E52" s="75"/>
      <c r="F52" s="164" t="s">
        <v>86</v>
      </c>
      <c r="G52" s="164"/>
      <c r="H52" s="164"/>
      <c r="I52" s="162" t="s">
        <v>88</v>
      </c>
      <c r="J52" s="162"/>
      <c r="K52" s="83" t="s">
        <v>91</v>
      </c>
      <c r="L52" s="163" t="s">
        <v>82</v>
      </c>
      <c r="M52" s="163"/>
      <c r="N52" s="163"/>
      <c r="O52" s="163"/>
    </row>
    <row r="53" spans="1:15" ht="12.75" thickBot="1">
      <c r="A53" s="159"/>
      <c r="B53" s="44" t="s">
        <v>38</v>
      </c>
      <c r="C53" s="44" t="s">
        <v>87</v>
      </c>
      <c r="D53" s="44" t="s">
        <v>89</v>
      </c>
      <c r="E53" s="44" t="s">
        <v>97</v>
      </c>
      <c r="F53" s="80" t="s">
        <v>94</v>
      </c>
      <c r="G53" s="80" t="s">
        <v>95</v>
      </c>
      <c r="H53" s="80" t="s">
        <v>98</v>
      </c>
      <c r="I53" s="91" t="s">
        <v>96</v>
      </c>
      <c r="J53" s="91" t="s">
        <v>98</v>
      </c>
      <c r="K53" s="84" t="s">
        <v>92</v>
      </c>
      <c r="L53" s="88" t="s">
        <v>83</v>
      </c>
      <c r="M53" s="88" t="s">
        <v>84</v>
      </c>
      <c r="N53" s="88" t="s">
        <v>85</v>
      </c>
      <c r="O53" s="88" t="s">
        <v>93</v>
      </c>
    </row>
    <row r="54" spans="1:15">
      <c r="A54" s="8" t="s">
        <v>11</v>
      </c>
      <c r="B54" s="50">
        <f>IF(B$3='Base Cenários'!A$3,'Base Cenários'!D7,(IF(B$3='Base Cenários'!A$14,'Base Cenários'!D18,'Base Cenários'!D29)))</f>
        <v>0</v>
      </c>
      <c r="C54" s="45">
        <f>B54*24*60*60*365</f>
        <v>0</v>
      </c>
      <c r="D54" s="76">
        <v>1</v>
      </c>
      <c r="E54" s="92">
        <f>C$4</f>
        <v>0.15</v>
      </c>
      <c r="F54" s="81">
        <f t="shared" ref="F54:F59" si="22">C54</f>
        <v>0</v>
      </c>
      <c r="G54" s="81">
        <v>0</v>
      </c>
      <c r="H54" s="95">
        <f>C$4</f>
        <v>0.15</v>
      </c>
      <c r="I54" s="47">
        <f>IF(B$3='Base Cenários'!A$3,'Base Cenários'!J7,(IF(B$3='Base Cenários'!A$14,'Base Cenários'!J18,'Base Cenários'!J29)))</f>
        <v>0</v>
      </c>
      <c r="J54" s="47">
        <f>C$4</f>
        <v>0.15</v>
      </c>
      <c r="K54" s="85">
        <v>1</v>
      </c>
      <c r="L54" s="89">
        <f>C54*D54*E54</f>
        <v>0</v>
      </c>
      <c r="M54" s="89">
        <f>IF(F54&gt;0,(F54-G54)*H54*(C54/F54),0)</f>
        <v>0</v>
      </c>
      <c r="N54" s="89">
        <f>I54*J54</f>
        <v>0</v>
      </c>
      <c r="O54" s="89">
        <f>(L54+M54+N54)*K54</f>
        <v>0</v>
      </c>
    </row>
    <row r="55" spans="1:15">
      <c r="A55" s="8" t="s">
        <v>12</v>
      </c>
      <c r="B55" s="50">
        <f>IF(B$3='Base Cenários'!A$3,'Base Cenários'!D8,(IF(B$3='Base Cenários'!A$14,'Base Cenários'!D19,'Base Cenários'!D30)))</f>
        <v>0</v>
      </c>
      <c r="C55" s="45">
        <f t="shared" ref="C55:C59" si="23">B55*24*60*60*365</f>
        <v>0</v>
      </c>
      <c r="D55" s="76">
        <v>1</v>
      </c>
      <c r="E55" s="92">
        <f t="shared" ref="E55:E59" si="24">C$4</f>
        <v>0.15</v>
      </c>
      <c r="F55" s="81">
        <f t="shared" si="22"/>
        <v>0</v>
      </c>
      <c r="G55" s="81">
        <v>0</v>
      </c>
      <c r="H55" s="95">
        <f t="shared" ref="H55:H59" si="25">C$4</f>
        <v>0.15</v>
      </c>
      <c r="I55" s="47">
        <f>IF(B$3='Base Cenários'!A$3,'Base Cenários'!J8,(IF(B$3='Base Cenários'!A$14,'Base Cenários'!J19,'Base Cenários'!J30)))</f>
        <v>0</v>
      </c>
      <c r="J55" s="47">
        <f t="shared" ref="J55:J59" si="26">C$4</f>
        <v>0.15</v>
      </c>
      <c r="K55" s="85">
        <v>1</v>
      </c>
      <c r="L55" s="89">
        <f t="shared" ref="L55:L59" si="27">C55*D55*E55</f>
        <v>0</v>
      </c>
      <c r="M55" s="89">
        <f t="shared" ref="M55:M59" si="28">IF(F55&gt;0,(F55-G55)*H55*(C55/F55),0)</f>
        <v>0</v>
      </c>
      <c r="N55" s="89">
        <f t="shared" ref="N55:N59" si="29">I55*J55</f>
        <v>0</v>
      </c>
      <c r="O55" s="89">
        <f t="shared" ref="O55:O59" si="30">(L55+M55+N55)*K55</f>
        <v>0</v>
      </c>
    </row>
    <row r="56" spans="1:15">
      <c r="A56" s="8" t="s">
        <v>13</v>
      </c>
      <c r="B56" s="50">
        <f>IF(B$3='Base Cenários'!A$3,'Base Cenários'!D9,(IF(B$3='Base Cenários'!A$14,'Base Cenários'!D20,'Base Cenários'!D31)))</f>
        <v>0</v>
      </c>
      <c r="C56" s="45">
        <f t="shared" si="23"/>
        <v>0</v>
      </c>
      <c r="D56" s="76">
        <v>1</v>
      </c>
      <c r="E56" s="92">
        <f t="shared" si="24"/>
        <v>0.15</v>
      </c>
      <c r="F56" s="81">
        <f t="shared" si="22"/>
        <v>0</v>
      </c>
      <c r="G56" s="81">
        <v>0</v>
      </c>
      <c r="H56" s="95">
        <f t="shared" si="25"/>
        <v>0.15</v>
      </c>
      <c r="I56" s="47">
        <f>IF(B$3='Base Cenários'!A$3,'Base Cenários'!J9,(IF(B$3='Base Cenários'!A$14,'Base Cenários'!J20,'Base Cenários'!J31)))</f>
        <v>0</v>
      </c>
      <c r="J56" s="47">
        <f t="shared" si="26"/>
        <v>0.15</v>
      </c>
      <c r="K56" s="85">
        <v>1</v>
      </c>
      <c r="L56" s="89">
        <f t="shared" si="27"/>
        <v>0</v>
      </c>
      <c r="M56" s="89">
        <f t="shared" si="28"/>
        <v>0</v>
      </c>
      <c r="N56" s="89">
        <f t="shared" si="29"/>
        <v>0</v>
      </c>
      <c r="O56" s="89">
        <f t="shared" si="30"/>
        <v>0</v>
      </c>
    </row>
    <row r="57" spans="1:15">
      <c r="A57" s="8" t="s">
        <v>14</v>
      </c>
      <c r="B57" s="50">
        <f>IF(B$3='Base Cenários'!A$3,'Base Cenários'!D10,(IF(B$3='Base Cenários'!A$14,'Base Cenários'!D21,'Base Cenários'!D32)))</f>
        <v>0.27297475266362253</v>
      </c>
      <c r="C57" s="45">
        <f t="shared" si="23"/>
        <v>8608531.8000000007</v>
      </c>
      <c r="D57" s="76">
        <v>1</v>
      </c>
      <c r="E57" s="92">
        <f t="shared" si="24"/>
        <v>0.15</v>
      </c>
      <c r="F57" s="81">
        <f t="shared" si="22"/>
        <v>8608531.8000000007</v>
      </c>
      <c r="G57" s="81">
        <v>0</v>
      </c>
      <c r="H57" s="95">
        <f t="shared" si="25"/>
        <v>0.15</v>
      </c>
      <c r="I57" s="47">
        <f>IF(B$3='Base Cenários'!A$3,'Base Cenários'!J10,(IF(B$3='Base Cenários'!A$14,'Base Cenários'!J21,'Base Cenários'!J32)))</f>
        <v>105106.61833643838</v>
      </c>
      <c r="J57" s="47">
        <f t="shared" si="26"/>
        <v>0.15</v>
      </c>
      <c r="K57" s="85">
        <v>1</v>
      </c>
      <c r="L57" s="89">
        <f t="shared" si="27"/>
        <v>1291279.77</v>
      </c>
      <c r="M57" s="89">
        <f t="shared" si="28"/>
        <v>1291279.77</v>
      </c>
      <c r="N57" s="89">
        <f t="shared" si="29"/>
        <v>15765.992750465755</v>
      </c>
      <c r="O57" s="89">
        <f t="shared" si="30"/>
        <v>2598325.5327504659</v>
      </c>
    </row>
    <row r="58" spans="1:15">
      <c r="A58" s="8" t="s">
        <v>15</v>
      </c>
      <c r="B58" s="50">
        <f>IF(B$3='Base Cenários'!A$3,'Base Cenários'!D11,(IF(B$3='Base Cenários'!A$14,'Base Cenários'!D22,'Base Cenários'!D33)))</f>
        <v>0</v>
      </c>
      <c r="C58" s="45">
        <f t="shared" si="23"/>
        <v>0</v>
      </c>
      <c r="D58" s="76">
        <v>1</v>
      </c>
      <c r="E58" s="92">
        <f t="shared" si="24"/>
        <v>0.15</v>
      </c>
      <c r="F58" s="81">
        <f t="shared" si="22"/>
        <v>0</v>
      </c>
      <c r="G58" s="81">
        <v>0</v>
      </c>
      <c r="H58" s="95">
        <f t="shared" si="25"/>
        <v>0.15</v>
      </c>
      <c r="I58" s="47">
        <f>IF(B$3='Base Cenários'!A$3,'Base Cenários'!J11,(IF(B$3='Base Cenários'!A$14,'Base Cenários'!J22,'Base Cenários'!J33)))</f>
        <v>0</v>
      </c>
      <c r="J58" s="47">
        <f t="shared" si="26"/>
        <v>0.15</v>
      </c>
      <c r="K58" s="85">
        <v>1</v>
      </c>
      <c r="L58" s="89">
        <f t="shared" si="27"/>
        <v>0</v>
      </c>
      <c r="M58" s="89">
        <f t="shared" si="28"/>
        <v>0</v>
      </c>
      <c r="N58" s="89">
        <f t="shared" si="29"/>
        <v>0</v>
      </c>
      <c r="O58" s="89">
        <f t="shared" si="30"/>
        <v>0</v>
      </c>
    </row>
    <row r="59" spans="1:15" ht="12.75" thickBot="1">
      <c r="A59" s="10" t="s">
        <v>16</v>
      </c>
      <c r="B59" s="51">
        <f>IF(B$3='Base Cenários'!A$3,'Base Cenários'!D12,(IF(B$3='Base Cenários'!A$14,'Base Cenários'!D23,'Base Cenários'!D34)))</f>
        <v>1.5498985286656519E-3</v>
      </c>
      <c r="C59" s="51">
        <f t="shared" si="23"/>
        <v>48877.599999999999</v>
      </c>
      <c r="D59" s="77">
        <v>1</v>
      </c>
      <c r="E59" s="93">
        <f t="shared" si="24"/>
        <v>0.15</v>
      </c>
      <c r="F59" s="82">
        <f t="shared" si="22"/>
        <v>48877.599999999999</v>
      </c>
      <c r="G59" s="82">
        <v>0</v>
      </c>
      <c r="H59" s="96">
        <f t="shared" si="25"/>
        <v>0.15</v>
      </c>
      <c r="I59" s="48">
        <f>IF(B$3='Base Cenários'!A$3,'Base Cenários'!J12,(IF(B$3='Base Cenários'!A$14,'Base Cenários'!J23,'Base Cenários'!J34)))</f>
        <v>0</v>
      </c>
      <c r="J59" s="48">
        <f t="shared" si="26"/>
        <v>0.15</v>
      </c>
      <c r="K59" s="86">
        <v>1</v>
      </c>
      <c r="L59" s="90">
        <f t="shared" si="27"/>
        <v>7331.6399999999994</v>
      </c>
      <c r="M59" s="90">
        <f t="shared" si="28"/>
        <v>7331.6399999999994</v>
      </c>
      <c r="N59" s="90">
        <f t="shared" si="29"/>
        <v>0</v>
      </c>
      <c r="O59" s="90">
        <f t="shared" si="30"/>
        <v>14663.279999999999</v>
      </c>
    </row>
    <row r="60" spans="1:15" ht="12.75" thickBot="1">
      <c r="N60" s="46" t="s">
        <v>40</v>
      </c>
      <c r="O60" s="94">
        <f>SUM(O54:O59)</f>
        <v>2612988.8127504657</v>
      </c>
    </row>
    <row r="62" spans="1:15" ht="12.75" thickBot="1">
      <c r="A62" s="10"/>
      <c r="B62" s="10"/>
      <c r="C62" s="10"/>
      <c r="D62" s="10"/>
      <c r="E62" s="10"/>
      <c r="F62" s="10"/>
      <c r="G62" s="10"/>
      <c r="H62" s="10"/>
      <c r="I62" s="41"/>
      <c r="J62" s="41"/>
      <c r="K62" s="10"/>
      <c r="L62" s="10"/>
    </row>
    <row r="63" spans="1:15" ht="15.75" customHeight="1" thickBot="1">
      <c r="A63" s="165" t="s">
        <v>4</v>
      </c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</row>
    <row r="64" spans="1:15" ht="15.75" customHeight="1" thickBot="1">
      <c r="A64" s="158" t="s">
        <v>36</v>
      </c>
      <c r="B64" s="160" t="s">
        <v>37</v>
      </c>
      <c r="C64" s="160"/>
      <c r="D64" s="160"/>
      <c r="E64" s="160"/>
      <c r="F64" s="164" t="s">
        <v>86</v>
      </c>
      <c r="G64" s="164"/>
      <c r="H64" s="83" t="s">
        <v>91</v>
      </c>
      <c r="I64" s="97" t="s">
        <v>101</v>
      </c>
      <c r="J64" s="163" t="s">
        <v>82</v>
      </c>
      <c r="K64" s="163"/>
      <c r="L64" s="163"/>
    </row>
    <row r="65" spans="1:15" ht="12.75" thickBot="1">
      <c r="A65" s="159"/>
      <c r="B65" s="44" t="s">
        <v>38</v>
      </c>
      <c r="C65" s="44" t="s">
        <v>87</v>
      </c>
      <c r="D65" s="44" t="s">
        <v>89</v>
      </c>
      <c r="E65" s="44" t="s">
        <v>97</v>
      </c>
      <c r="F65" s="80" t="s">
        <v>99</v>
      </c>
      <c r="G65" s="80" t="s">
        <v>98</v>
      </c>
      <c r="H65" s="84" t="s">
        <v>92</v>
      </c>
      <c r="I65" s="87" t="s">
        <v>102</v>
      </c>
      <c r="J65" s="88" t="s">
        <v>83</v>
      </c>
      <c r="K65" s="88" t="s">
        <v>84</v>
      </c>
      <c r="L65" s="88" t="s">
        <v>93</v>
      </c>
    </row>
    <row r="66" spans="1:15">
      <c r="A66" s="8" t="s">
        <v>11</v>
      </c>
      <c r="B66" s="50">
        <f>IF(B$3='Base Cenários'!A$3,'Base Cenários'!E7,(IF(B$3='Base Cenários'!A$14,'Base Cenários'!E18,'Base Cenários'!E29)))</f>
        <v>0</v>
      </c>
      <c r="C66" s="45">
        <f>B66*24*60*60*365</f>
        <v>0</v>
      </c>
      <c r="D66" s="76">
        <v>1</v>
      </c>
      <c r="E66" s="92">
        <f>C$4</f>
        <v>0.15</v>
      </c>
      <c r="F66" s="81">
        <v>0.75</v>
      </c>
      <c r="G66" s="95">
        <f>C$4</f>
        <v>0.15</v>
      </c>
      <c r="H66" s="85">
        <v>1</v>
      </c>
      <c r="I66" s="98">
        <v>0.5</v>
      </c>
      <c r="J66" s="89">
        <f t="shared" ref="J66:J71" si="31">C66*D66*E66</f>
        <v>0</v>
      </c>
      <c r="K66" s="89">
        <f>C66*F66*G66</f>
        <v>0</v>
      </c>
      <c r="L66" s="89">
        <f>(J66+K66)*H66*I66</f>
        <v>0</v>
      </c>
    </row>
    <row r="67" spans="1:15">
      <c r="A67" s="8" t="s">
        <v>12</v>
      </c>
      <c r="B67" s="50">
        <f>IF(B$3='Base Cenários'!A$3,'Base Cenários'!E8,(IF(B$3='Base Cenários'!A$14,'Base Cenários'!E19,'Base Cenários'!E30)))</f>
        <v>0</v>
      </c>
      <c r="C67" s="45">
        <f t="shared" ref="C67:C71" si="32">B67*24*60*60*365</f>
        <v>0</v>
      </c>
      <c r="D67" s="76">
        <v>1</v>
      </c>
      <c r="E67" s="92">
        <f t="shared" ref="E67:E71" si="33">C$4</f>
        <v>0.15</v>
      </c>
      <c r="F67" s="81">
        <v>0.75</v>
      </c>
      <c r="G67" s="95">
        <f t="shared" ref="G67:G71" si="34">C$4</f>
        <v>0.15</v>
      </c>
      <c r="H67" s="85">
        <v>1</v>
      </c>
      <c r="I67" s="98">
        <v>0.5</v>
      </c>
      <c r="J67" s="89">
        <f t="shared" si="31"/>
        <v>0</v>
      </c>
      <c r="K67" s="89">
        <f t="shared" ref="K67:K71" si="35">C67*F67*G67</f>
        <v>0</v>
      </c>
      <c r="L67" s="89">
        <f t="shared" ref="L67:L71" si="36">(J67+K67)*H67*I67</f>
        <v>0</v>
      </c>
    </row>
    <row r="68" spans="1:15">
      <c r="A68" s="8" t="s">
        <v>13</v>
      </c>
      <c r="B68" s="50">
        <f>IF(B$3='Base Cenários'!A$3,'Base Cenários'!E9,(IF(B$3='Base Cenários'!A$14,'Base Cenários'!E20,'Base Cenários'!E31)))</f>
        <v>0</v>
      </c>
      <c r="C68" s="45">
        <f t="shared" si="32"/>
        <v>0</v>
      </c>
      <c r="D68" s="76">
        <v>1</v>
      </c>
      <c r="E68" s="92">
        <f t="shared" si="33"/>
        <v>0.15</v>
      </c>
      <c r="F68" s="81">
        <v>0.75</v>
      </c>
      <c r="G68" s="95">
        <f t="shared" si="34"/>
        <v>0.15</v>
      </c>
      <c r="H68" s="85">
        <v>1</v>
      </c>
      <c r="I68" s="98">
        <v>0.5</v>
      </c>
      <c r="J68" s="89">
        <f t="shared" si="31"/>
        <v>0</v>
      </c>
      <c r="K68" s="89">
        <f t="shared" si="35"/>
        <v>0</v>
      </c>
      <c r="L68" s="89">
        <f t="shared" si="36"/>
        <v>0</v>
      </c>
    </row>
    <row r="69" spans="1:15">
      <c r="A69" s="8" t="s">
        <v>14</v>
      </c>
      <c r="B69" s="50">
        <f>IF(B$3='Base Cenários'!A$3,'Base Cenários'!E10,(IF(B$3='Base Cenários'!A$14,'Base Cenários'!E21,'Base Cenários'!E32)))</f>
        <v>2.0091324200913243E-4</v>
      </c>
      <c r="C69" s="45">
        <f t="shared" si="32"/>
        <v>6336</v>
      </c>
      <c r="D69" s="76">
        <v>1</v>
      </c>
      <c r="E69" s="92">
        <f t="shared" si="33"/>
        <v>0.15</v>
      </c>
      <c r="F69" s="81">
        <v>0.75</v>
      </c>
      <c r="G69" s="95">
        <f t="shared" si="34"/>
        <v>0.15</v>
      </c>
      <c r="H69" s="85">
        <v>1</v>
      </c>
      <c r="I69" s="98">
        <v>0.5</v>
      </c>
      <c r="J69" s="89">
        <f t="shared" si="31"/>
        <v>950.4</v>
      </c>
      <c r="K69" s="89">
        <f t="shared" si="35"/>
        <v>712.8</v>
      </c>
      <c r="L69" s="89">
        <f t="shared" si="36"/>
        <v>831.59999999999991</v>
      </c>
    </row>
    <row r="70" spans="1:15">
      <c r="A70" s="8" t="s">
        <v>15</v>
      </c>
      <c r="B70" s="50">
        <f>IF(B$3='Base Cenários'!A$3,'Base Cenários'!E11,(IF(B$3='Base Cenários'!A$14,'Base Cenários'!E22,'Base Cenários'!E33)))</f>
        <v>2.0795281582952816E-4</v>
      </c>
      <c r="C70" s="45">
        <f t="shared" si="32"/>
        <v>6558.0000000000009</v>
      </c>
      <c r="D70" s="76">
        <v>1</v>
      </c>
      <c r="E70" s="92">
        <f t="shared" si="33"/>
        <v>0.15</v>
      </c>
      <c r="F70" s="81">
        <v>0.75</v>
      </c>
      <c r="G70" s="95">
        <f t="shared" si="34"/>
        <v>0.15</v>
      </c>
      <c r="H70" s="85">
        <v>1</v>
      </c>
      <c r="I70" s="98">
        <v>0.5</v>
      </c>
      <c r="J70" s="89">
        <f t="shared" si="31"/>
        <v>983.7</v>
      </c>
      <c r="K70" s="89">
        <f t="shared" si="35"/>
        <v>737.77500000000009</v>
      </c>
      <c r="L70" s="89">
        <f t="shared" si="36"/>
        <v>860.73750000000007</v>
      </c>
    </row>
    <row r="71" spans="1:15" ht="12.75" thickBot="1">
      <c r="A71" s="10" t="s">
        <v>16</v>
      </c>
      <c r="B71" s="51">
        <f>IF(B$3='Base Cenários'!A$3,'Base Cenários'!E12,(IF(B$3='Base Cenários'!A$14,'Base Cenários'!E23,'Base Cenários'!E34)))</f>
        <v>2.7207001522070015E-4</v>
      </c>
      <c r="C71" s="51">
        <f t="shared" si="32"/>
        <v>8580</v>
      </c>
      <c r="D71" s="77">
        <v>1</v>
      </c>
      <c r="E71" s="93">
        <f t="shared" si="33"/>
        <v>0.15</v>
      </c>
      <c r="F71" s="82">
        <v>0.75</v>
      </c>
      <c r="G71" s="96">
        <f t="shared" si="34"/>
        <v>0.15</v>
      </c>
      <c r="H71" s="86">
        <v>1</v>
      </c>
      <c r="I71" s="99">
        <v>0.5</v>
      </c>
      <c r="J71" s="90">
        <f t="shared" si="31"/>
        <v>1287</v>
      </c>
      <c r="K71" s="90">
        <f t="shared" si="35"/>
        <v>965.25</v>
      </c>
      <c r="L71" s="90">
        <f t="shared" si="36"/>
        <v>1126.125</v>
      </c>
    </row>
    <row r="72" spans="1:15" ht="12.75" thickBot="1">
      <c r="K72" s="46" t="s">
        <v>40</v>
      </c>
      <c r="L72" s="94">
        <f>SUM(L66:L71)</f>
        <v>2818.4625000000001</v>
      </c>
    </row>
    <row r="73" spans="1:15">
      <c r="K73" s="43"/>
      <c r="L73" s="73"/>
    </row>
    <row r="74" spans="1:15" ht="12.75" thickBot="1"/>
    <row r="75" spans="1:15" ht="12.75" thickBot="1">
      <c r="A75" s="165" t="s">
        <v>44</v>
      </c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</row>
    <row r="76" spans="1:15" ht="15.75" customHeight="1" thickBot="1">
      <c r="A76" s="158" t="s">
        <v>36</v>
      </c>
      <c r="B76" s="75" t="s">
        <v>37</v>
      </c>
      <c r="C76" s="75"/>
      <c r="D76" s="75"/>
      <c r="E76" s="75"/>
      <c r="F76" s="164" t="s">
        <v>86</v>
      </c>
      <c r="G76" s="164"/>
      <c r="H76" s="164"/>
      <c r="I76" s="162" t="s">
        <v>88</v>
      </c>
      <c r="J76" s="162"/>
      <c r="K76" s="83" t="s">
        <v>91</v>
      </c>
      <c r="L76" s="163" t="s">
        <v>82</v>
      </c>
      <c r="M76" s="163"/>
      <c r="N76" s="163"/>
      <c r="O76" s="163"/>
    </row>
    <row r="77" spans="1:15" ht="12.75" thickBot="1">
      <c r="A77" s="159"/>
      <c r="B77" s="44" t="s">
        <v>38</v>
      </c>
      <c r="C77" s="44" t="s">
        <v>87</v>
      </c>
      <c r="D77" s="44" t="s">
        <v>89</v>
      </c>
      <c r="E77" s="44" t="s">
        <v>97</v>
      </c>
      <c r="F77" s="80" t="s">
        <v>94</v>
      </c>
      <c r="G77" s="80" t="s">
        <v>95</v>
      </c>
      <c r="H77" s="80" t="s">
        <v>98</v>
      </c>
      <c r="I77" s="91" t="s">
        <v>96</v>
      </c>
      <c r="J77" s="91" t="s">
        <v>98</v>
      </c>
      <c r="K77" s="84" t="s">
        <v>92</v>
      </c>
      <c r="L77" s="88" t="s">
        <v>83</v>
      </c>
      <c r="M77" s="88" t="s">
        <v>84</v>
      </c>
      <c r="N77" s="88" t="s">
        <v>85</v>
      </c>
      <c r="O77" s="88" t="s">
        <v>93</v>
      </c>
    </row>
    <row r="78" spans="1:15">
      <c r="A78" s="8" t="s">
        <v>11</v>
      </c>
      <c r="B78" s="50">
        <f>IF(B$3='Base Cenários'!A$3,'Base Cenários'!F7,(IF(B$3='Base Cenários'!A$14,'Base Cenários'!F18,'Base Cenários'!F29)))</f>
        <v>0</v>
      </c>
      <c r="C78" s="45">
        <f>B78*24*60*60*365</f>
        <v>0</v>
      </c>
      <c r="D78" s="76">
        <v>1</v>
      </c>
      <c r="E78" s="92">
        <f>C$4</f>
        <v>0.15</v>
      </c>
      <c r="F78" s="81">
        <f t="shared" ref="F78:F83" si="37">C78</f>
        <v>0</v>
      </c>
      <c r="G78" s="81">
        <v>0</v>
      </c>
      <c r="H78" s="95">
        <f>C$4</f>
        <v>0.15</v>
      </c>
      <c r="I78" s="47">
        <f>IF(B$3='Base Cenários'!A$3,'Base Cenários'!K7,(IF(B$3='Base Cenários'!A$14,'Base Cenários'!K18,'Base Cenários'!K29)))</f>
        <v>0</v>
      </c>
      <c r="J78" s="47">
        <f>C$4</f>
        <v>0.15</v>
      </c>
      <c r="K78" s="85">
        <v>1</v>
      </c>
      <c r="L78" s="89">
        <f>C78*D78*E78</f>
        <v>0</v>
      </c>
      <c r="M78" s="89">
        <f>IF(F78&gt;0,(F78-G78)*H78*(C78/F78),0)</f>
        <v>0</v>
      </c>
      <c r="N78" s="89">
        <f>I78*J78</f>
        <v>0</v>
      </c>
      <c r="O78" s="89">
        <f>(L78+M78+N78)*K78</f>
        <v>0</v>
      </c>
    </row>
    <row r="79" spans="1:15">
      <c r="A79" s="8" t="s">
        <v>12</v>
      </c>
      <c r="B79" s="50">
        <f>IF(B$3='Base Cenários'!A$3,'Base Cenários'!F8,(IF(B$3='Base Cenários'!A$14,'Base Cenários'!F19,'Base Cenários'!F30)))</f>
        <v>0</v>
      </c>
      <c r="C79" s="45">
        <f t="shared" ref="C79:C83" si="38">B79*24*60*60*365</f>
        <v>0</v>
      </c>
      <c r="D79" s="76">
        <v>1</v>
      </c>
      <c r="E79" s="92">
        <f t="shared" ref="E79:E83" si="39">C$4</f>
        <v>0.15</v>
      </c>
      <c r="F79" s="81">
        <f t="shared" si="37"/>
        <v>0</v>
      </c>
      <c r="G79" s="81">
        <v>0</v>
      </c>
      <c r="H79" s="95">
        <f t="shared" ref="H79:H83" si="40">C$4</f>
        <v>0.15</v>
      </c>
      <c r="I79" s="47">
        <f>IF(B$3='Base Cenários'!A$3,'Base Cenários'!K8,(IF(B$3='Base Cenários'!A$14,'Base Cenários'!K19,'Base Cenários'!K30)))</f>
        <v>0</v>
      </c>
      <c r="J79" s="47">
        <f t="shared" ref="J79:J83" si="41">C$4</f>
        <v>0.15</v>
      </c>
      <c r="K79" s="85">
        <v>1</v>
      </c>
      <c r="L79" s="89">
        <f t="shared" ref="L79:L83" si="42">C79*D79*E79</f>
        <v>0</v>
      </c>
      <c r="M79" s="89">
        <f t="shared" ref="M79:M83" si="43">IF(F79&gt;0,(F79-G79)*H79*(C79/F79),0)</f>
        <v>0</v>
      </c>
      <c r="N79" s="89">
        <f t="shared" ref="N79:N83" si="44">I79*J79</f>
        <v>0</v>
      </c>
      <c r="O79" s="89">
        <f t="shared" ref="O79:O83" si="45">(L79+M79+N79)*K79</f>
        <v>0</v>
      </c>
    </row>
    <row r="80" spans="1:15">
      <c r="A80" s="8" t="s">
        <v>13</v>
      </c>
      <c r="B80" s="50">
        <f>IF(B$3='Base Cenários'!A$3,'Base Cenários'!F9,(IF(B$3='Base Cenários'!A$14,'Base Cenários'!F20,'Base Cenários'!F31)))</f>
        <v>0</v>
      </c>
      <c r="C80" s="45">
        <f t="shared" si="38"/>
        <v>0</v>
      </c>
      <c r="D80" s="76">
        <v>1</v>
      </c>
      <c r="E80" s="92">
        <f t="shared" si="39"/>
        <v>0.15</v>
      </c>
      <c r="F80" s="81">
        <f t="shared" si="37"/>
        <v>0</v>
      </c>
      <c r="G80" s="81">
        <v>0</v>
      </c>
      <c r="H80" s="95">
        <f t="shared" si="40"/>
        <v>0.15</v>
      </c>
      <c r="I80" s="47">
        <f>IF(B$3='Base Cenários'!A$3,'Base Cenários'!K9,(IF(B$3='Base Cenários'!A$14,'Base Cenários'!K20,'Base Cenários'!K31)))</f>
        <v>0</v>
      </c>
      <c r="J80" s="47">
        <f t="shared" si="41"/>
        <v>0.15</v>
      </c>
      <c r="K80" s="85">
        <v>1</v>
      </c>
      <c r="L80" s="89">
        <f t="shared" si="42"/>
        <v>0</v>
      </c>
      <c r="M80" s="89">
        <f t="shared" si="43"/>
        <v>0</v>
      </c>
      <c r="N80" s="89">
        <f t="shared" si="44"/>
        <v>0</v>
      </c>
      <c r="O80" s="89">
        <f t="shared" si="45"/>
        <v>0</v>
      </c>
    </row>
    <row r="81" spans="1:15">
      <c r="A81" s="8" t="s">
        <v>14</v>
      </c>
      <c r="B81" s="50">
        <f>IF(B$3='Base Cenários'!A$3,'Base Cenários'!F10,(IF(B$3='Base Cenários'!A$14,'Base Cenários'!F21,'Base Cenários'!F32)))</f>
        <v>2.0501472602739725</v>
      </c>
      <c r="C81" s="45">
        <f t="shared" si="38"/>
        <v>64653443.999999993</v>
      </c>
      <c r="D81" s="76">
        <v>1</v>
      </c>
      <c r="E81" s="92">
        <f t="shared" si="39"/>
        <v>0.15</v>
      </c>
      <c r="F81" s="81">
        <f t="shared" si="37"/>
        <v>64653443.999999993</v>
      </c>
      <c r="G81" s="81">
        <v>0</v>
      </c>
      <c r="H81" s="95">
        <f t="shared" si="40"/>
        <v>0.15</v>
      </c>
      <c r="I81" s="47">
        <f>IF(B$3='Base Cenários'!A$3,'Base Cenários'!K10,(IF(B$3='Base Cenários'!A$14,'Base Cenários'!K21,'Base Cenários'!K32)))</f>
        <v>717043.82975999999</v>
      </c>
      <c r="J81" s="47">
        <f t="shared" si="41"/>
        <v>0.15</v>
      </c>
      <c r="K81" s="85">
        <v>1</v>
      </c>
      <c r="L81" s="89">
        <f t="shared" si="42"/>
        <v>9698016.5999999978</v>
      </c>
      <c r="M81" s="89">
        <f t="shared" si="43"/>
        <v>9698016.5999999978</v>
      </c>
      <c r="N81" s="89">
        <f t="shared" si="44"/>
        <v>107556.57446399999</v>
      </c>
      <c r="O81" s="89">
        <f t="shared" si="45"/>
        <v>19503589.774463996</v>
      </c>
    </row>
    <row r="82" spans="1:15">
      <c r="A82" s="8" t="s">
        <v>15</v>
      </c>
      <c r="B82" s="50">
        <f>IF(B$3='Base Cenários'!A$3,'Base Cenários'!F11,(IF(B$3='Base Cenários'!A$14,'Base Cenários'!F22,'Base Cenários'!F33)))</f>
        <v>0</v>
      </c>
      <c r="C82" s="45">
        <f t="shared" si="38"/>
        <v>0</v>
      </c>
      <c r="D82" s="76">
        <v>1</v>
      </c>
      <c r="E82" s="92">
        <f t="shared" si="39"/>
        <v>0.15</v>
      </c>
      <c r="F82" s="81">
        <f t="shared" si="37"/>
        <v>0</v>
      </c>
      <c r="G82" s="81">
        <v>0</v>
      </c>
      <c r="H82" s="95">
        <f t="shared" si="40"/>
        <v>0.15</v>
      </c>
      <c r="I82" s="47">
        <f>IF(B$3='Base Cenários'!A$3,'Base Cenários'!K11,(IF(B$3='Base Cenários'!A$14,'Base Cenários'!K22,'Base Cenários'!K33)))</f>
        <v>0</v>
      </c>
      <c r="J82" s="47">
        <f t="shared" si="41"/>
        <v>0.15</v>
      </c>
      <c r="K82" s="85">
        <v>1</v>
      </c>
      <c r="L82" s="89">
        <f t="shared" si="42"/>
        <v>0</v>
      </c>
      <c r="M82" s="89">
        <f t="shared" si="43"/>
        <v>0</v>
      </c>
      <c r="N82" s="89">
        <f t="shared" si="44"/>
        <v>0</v>
      </c>
      <c r="O82" s="89">
        <f t="shared" si="45"/>
        <v>0</v>
      </c>
    </row>
    <row r="83" spans="1:15" ht="12.75" thickBot="1">
      <c r="A83" s="10" t="s">
        <v>16</v>
      </c>
      <c r="B83" s="51">
        <f>IF(B$3='Base Cenários'!A$3,'Base Cenários'!F12,(IF(B$3='Base Cenários'!A$14,'Base Cenários'!F23,'Base Cenários'!F34)))</f>
        <v>0</v>
      </c>
      <c r="C83" s="51">
        <f t="shared" si="38"/>
        <v>0</v>
      </c>
      <c r="D83" s="77">
        <v>1</v>
      </c>
      <c r="E83" s="93">
        <f t="shared" si="39"/>
        <v>0.15</v>
      </c>
      <c r="F83" s="82">
        <f t="shared" si="37"/>
        <v>0</v>
      </c>
      <c r="G83" s="82">
        <v>0</v>
      </c>
      <c r="H83" s="96">
        <f t="shared" si="40"/>
        <v>0.15</v>
      </c>
      <c r="I83" s="48">
        <f>IF(B$3='Base Cenários'!A$3,'Base Cenários'!K12,(IF(B$3='Base Cenários'!A$14,'Base Cenários'!K23,'Base Cenários'!K34)))</f>
        <v>0</v>
      </c>
      <c r="J83" s="48">
        <f t="shared" si="41"/>
        <v>0.15</v>
      </c>
      <c r="K83" s="86">
        <v>1</v>
      </c>
      <c r="L83" s="90">
        <f t="shared" si="42"/>
        <v>0</v>
      </c>
      <c r="M83" s="90">
        <f t="shared" si="43"/>
        <v>0</v>
      </c>
      <c r="N83" s="90">
        <f t="shared" si="44"/>
        <v>0</v>
      </c>
      <c r="O83" s="90">
        <f t="shared" si="45"/>
        <v>0</v>
      </c>
    </row>
    <row r="84" spans="1:15" ht="12.75" thickBot="1">
      <c r="N84" s="46" t="s">
        <v>40</v>
      </c>
      <c r="O84" s="94">
        <f>SUM(O78:O83)</f>
        <v>19503589.774463996</v>
      </c>
    </row>
  </sheetData>
  <mergeCells count="34">
    <mergeCell ref="A1:M1"/>
    <mergeCell ref="B2:I2"/>
    <mergeCell ref="A6:F6"/>
    <mergeCell ref="H6:M6"/>
    <mergeCell ref="A7:A8"/>
    <mergeCell ref="H7:H8"/>
    <mergeCell ref="B8:F8"/>
    <mergeCell ref="I8:M8"/>
    <mergeCell ref="A25:Q25"/>
    <mergeCell ref="A26:A27"/>
    <mergeCell ref="B26:F26"/>
    <mergeCell ref="G26:J26"/>
    <mergeCell ref="K26:L26"/>
    <mergeCell ref="N26:Q26"/>
    <mergeCell ref="A64:A65"/>
    <mergeCell ref="B64:E64"/>
    <mergeCell ref="F64:G64"/>
    <mergeCell ref="J64:L64"/>
    <mergeCell ref="A39:M39"/>
    <mergeCell ref="A40:A41"/>
    <mergeCell ref="B40:E40"/>
    <mergeCell ref="F40:H40"/>
    <mergeCell ref="K40:M40"/>
    <mergeCell ref="A51:O51"/>
    <mergeCell ref="A52:A53"/>
    <mergeCell ref="F52:H52"/>
    <mergeCell ref="I52:J52"/>
    <mergeCell ref="L52:O52"/>
    <mergeCell ref="A63:L63"/>
    <mergeCell ref="A75:O75"/>
    <mergeCell ref="A76:A77"/>
    <mergeCell ref="F76:H76"/>
    <mergeCell ref="I76:J76"/>
    <mergeCell ref="L76:O76"/>
  </mergeCells>
  <dataValidations count="2">
    <dataValidation type="list" allowBlank="1" showInputMessage="1" showErrorMessage="1" sqref="B4" xr:uid="{42A5F32A-D4BB-4F49-9A40-D377D606DCEF}">
      <formula1>"PPU 1,PPU 2,PPU 3"</formula1>
    </dataValidation>
    <dataValidation type="list" allowBlank="1" showInputMessage="1" showErrorMessage="1" sqref="B3" xr:uid="{927647C3-78AD-4EE6-8645-415A18A6771E}">
      <formula1>"Cenário 1,Cenário 2,Cenário 3"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7BBC7-354B-47EF-8AE0-D0A49933FB98}">
  <dimension ref="A1:Q84"/>
  <sheetViews>
    <sheetView workbookViewId="0">
      <selection activeCell="B9" sqref="B9:F15"/>
    </sheetView>
  </sheetViews>
  <sheetFormatPr defaultColWidth="9.125" defaultRowHeight="12"/>
  <cols>
    <col min="1" max="1" width="19.75" style="8" bestFit="1" customWidth="1"/>
    <col min="2" max="2" width="16.25" style="8" bestFit="1" customWidth="1"/>
    <col min="3" max="4" width="15.25" style="8" bestFit="1" customWidth="1"/>
    <col min="5" max="5" width="12.75" style="8" bestFit="1" customWidth="1"/>
    <col min="6" max="6" width="16.125" style="8" bestFit="1" customWidth="1"/>
    <col min="7" max="7" width="12.375" style="8" customWidth="1"/>
    <col min="8" max="8" width="18.75" style="8" bestFit="1" customWidth="1"/>
    <col min="9" max="9" width="15.875" style="42" bestFit="1" customWidth="1"/>
    <col min="10" max="10" width="16.125" style="42" bestFit="1" customWidth="1"/>
    <col min="11" max="11" width="13.625" style="8" bestFit="1" customWidth="1"/>
    <col min="12" max="13" width="15" style="8" bestFit="1" customWidth="1"/>
    <col min="14" max="14" width="16" style="8" bestFit="1" customWidth="1"/>
    <col min="15" max="15" width="15" style="8" bestFit="1" customWidth="1"/>
    <col min="16" max="16" width="13.625" style="8" bestFit="1" customWidth="1"/>
    <col min="17" max="17" width="15" style="8" bestFit="1" customWidth="1"/>
    <col min="18" max="16384" width="9.125" style="8"/>
  </cols>
  <sheetData>
    <row r="1" spans="1:13" ht="15.75">
      <c r="A1" s="152" t="s">
        <v>118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</row>
    <row r="2" spans="1:13">
      <c r="A2" s="38" t="s">
        <v>34</v>
      </c>
      <c r="B2" s="153" t="s">
        <v>100</v>
      </c>
      <c r="C2" s="153"/>
      <c r="D2" s="153"/>
      <c r="E2" s="153"/>
      <c r="F2" s="153"/>
      <c r="G2" s="153"/>
      <c r="H2" s="153"/>
      <c r="I2" s="153"/>
      <c r="J2" s="39"/>
    </row>
    <row r="3" spans="1:13">
      <c r="A3" s="38" t="s">
        <v>35</v>
      </c>
      <c r="B3" s="40" t="s">
        <v>104</v>
      </c>
      <c r="C3" s="40"/>
      <c r="D3" s="40"/>
      <c r="E3" s="40"/>
      <c r="F3" s="40"/>
      <c r="G3" s="40"/>
      <c r="H3" s="40"/>
      <c r="I3" s="39"/>
      <c r="J3" s="39"/>
    </row>
    <row r="4" spans="1:13">
      <c r="A4" s="38" t="s">
        <v>81</v>
      </c>
      <c r="B4" s="40" t="s">
        <v>62</v>
      </c>
      <c r="C4" s="52">
        <f>IF(B4='Base Cenários'!M2,'Base Cenários'!N2,(IF('Cenário B.3.1'!B4='Base Cenários'!M3,'Base Cenários'!N3,'Base Cenários'!N4)))</f>
        <v>6.5949999999999995E-2</v>
      </c>
      <c r="D4" s="40" t="s">
        <v>41</v>
      </c>
      <c r="E4" s="40"/>
      <c r="F4" s="40"/>
      <c r="G4" s="40"/>
      <c r="H4" s="40"/>
      <c r="I4" s="39"/>
      <c r="J4" s="39"/>
    </row>
    <row r="5" spans="1:13" ht="12.75" thickBot="1">
      <c r="A5" s="10"/>
      <c r="B5" s="10"/>
      <c r="C5" s="10"/>
      <c r="D5" s="10"/>
      <c r="E5" s="10"/>
      <c r="F5" s="10"/>
      <c r="H5" s="10"/>
      <c r="I5" s="41"/>
      <c r="J5" s="41"/>
      <c r="K5" s="10"/>
      <c r="L5" s="10"/>
      <c r="M5" s="10"/>
    </row>
    <row r="6" spans="1:13">
      <c r="A6" s="154" t="s">
        <v>46</v>
      </c>
      <c r="B6" s="154"/>
      <c r="C6" s="154"/>
      <c r="D6" s="154"/>
      <c r="E6" s="154"/>
      <c r="F6" s="154"/>
      <c r="H6" s="154" t="s">
        <v>47</v>
      </c>
      <c r="I6" s="154"/>
      <c r="J6" s="154"/>
      <c r="K6" s="154"/>
      <c r="L6" s="154"/>
      <c r="M6" s="154"/>
    </row>
    <row r="7" spans="1:13" s="11" customFormat="1">
      <c r="A7" s="155" t="s">
        <v>45</v>
      </c>
      <c r="B7" s="35" t="s">
        <v>1</v>
      </c>
      <c r="C7" s="35" t="s">
        <v>2</v>
      </c>
      <c r="D7" s="35" t="s">
        <v>3</v>
      </c>
      <c r="E7" s="35" t="s">
        <v>4</v>
      </c>
      <c r="F7" s="35" t="s">
        <v>5</v>
      </c>
      <c r="H7" s="155" t="s">
        <v>45</v>
      </c>
      <c r="I7" s="35" t="s">
        <v>1</v>
      </c>
      <c r="J7" s="35" t="s">
        <v>2</v>
      </c>
      <c r="K7" s="35" t="s">
        <v>3</v>
      </c>
      <c r="L7" s="35" t="s">
        <v>4</v>
      </c>
      <c r="M7" s="35" t="s">
        <v>5</v>
      </c>
    </row>
    <row r="8" spans="1:13">
      <c r="A8" s="156"/>
      <c r="B8" s="144" t="s">
        <v>39</v>
      </c>
      <c r="C8" s="144"/>
      <c r="D8" s="144"/>
      <c r="E8" s="144"/>
      <c r="F8" s="144"/>
      <c r="H8" s="156"/>
      <c r="I8" s="144" t="s">
        <v>48</v>
      </c>
      <c r="J8" s="144"/>
      <c r="K8" s="144"/>
      <c r="L8" s="144"/>
      <c r="M8" s="144"/>
    </row>
    <row r="9" spans="1:13">
      <c r="A9" s="8" t="s">
        <v>11</v>
      </c>
      <c r="B9" s="9">
        <f t="shared" ref="B9:B14" si="0">Q28</f>
        <v>67.189859999999996</v>
      </c>
      <c r="C9" s="9">
        <f>M42</f>
        <v>0</v>
      </c>
      <c r="D9" s="9">
        <f>O54</f>
        <v>50.333039999999997</v>
      </c>
      <c r="E9" s="9">
        <f>L66</f>
        <v>1819.8242999999995</v>
      </c>
      <c r="F9" s="9">
        <f>O78</f>
        <v>0</v>
      </c>
      <c r="H9" s="8" t="s">
        <v>11</v>
      </c>
      <c r="I9" s="53">
        <f>IF(Renda!B20&gt;0,B9/Renda!B20,0)</f>
        <v>4.3237213726319824E-5</v>
      </c>
      <c r="J9" s="53">
        <f>IF(Renda!C20&gt;0,C9/Renda!C20,0)</f>
        <v>0</v>
      </c>
      <c r="K9" s="53">
        <f>IF(Renda!D20&gt;0,D9/Renda!D20,0)</f>
        <v>1.3389946218169167E-7</v>
      </c>
      <c r="L9" s="53">
        <f>IF(Renda!E20&gt;0,E9/Renda!E20,0)</f>
        <v>1.23267007935883E-4</v>
      </c>
      <c r="M9" s="53">
        <f>IF(Renda!F20&gt;0,F9/Renda!F20,0)</f>
        <v>0</v>
      </c>
    </row>
    <row r="10" spans="1:13">
      <c r="A10" s="8" t="s">
        <v>12</v>
      </c>
      <c r="B10" s="9">
        <f t="shared" si="0"/>
        <v>8272.1876399999983</v>
      </c>
      <c r="C10" s="9">
        <f t="shared" ref="C10:C14" si="1">M43</f>
        <v>0</v>
      </c>
      <c r="D10" s="9">
        <f t="shared" ref="D10:D14" si="2">O55</f>
        <v>0</v>
      </c>
      <c r="E10" s="9">
        <f t="shared" ref="E10:E14" si="3">L67</f>
        <v>1819.8242999999995</v>
      </c>
      <c r="F10" s="9">
        <f t="shared" ref="F10:F14" si="4">O79</f>
        <v>0</v>
      </c>
      <c r="H10" s="8" t="s">
        <v>12</v>
      </c>
      <c r="I10" s="53">
        <f>IF(Renda!B21&gt;0,B10/Renda!B21,0)</f>
        <v>5.5204809132837441E-4</v>
      </c>
      <c r="J10" s="53">
        <f>IF(Renda!C21&gt;0,C10/Renda!C21,0)</f>
        <v>0</v>
      </c>
      <c r="K10" s="53">
        <f>IF(Renda!D21&gt;0,D10/Renda!D21,0)</f>
        <v>0</v>
      </c>
      <c r="L10" s="53">
        <f>IF(Renda!E21&gt;0,E10/Renda!E21,0)</f>
        <v>1.2198669180627223E-4</v>
      </c>
      <c r="M10" s="53">
        <f>IF(Renda!F21&gt;0,F10/Renda!F21,0)</f>
        <v>0</v>
      </c>
    </row>
    <row r="11" spans="1:13">
      <c r="A11" s="8" t="s">
        <v>13</v>
      </c>
      <c r="B11" s="9">
        <f t="shared" si="0"/>
        <v>740.08562400000005</v>
      </c>
      <c r="C11" s="9">
        <f t="shared" si="1"/>
        <v>0</v>
      </c>
      <c r="D11" s="9">
        <f t="shared" si="2"/>
        <v>0</v>
      </c>
      <c r="E11" s="9">
        <f t="shared" si="3"/>
        <v>14558.594399999996</v>
      </c>
      <c r="F11" s="9">
        <f t="shared" si="4"/>
        <v>0</v>
      </c>
      <c r="H11" s="8" t="s">
        <v>13</v>
      </c>
      <c r="I11" s="53">
        <f>IF(Renda!B22&gt;0,B11/Renda!B22,0)</f>
        <v>0</v>
      </c>
      <c r="J11" s="53">
        <f>IF(Renda!C22&gt;0,C11/Renda!C22,0)</f>
        <v>0</v>
      </c>
      <c r="K11" s="53">
        <f>IF(Renda!D22&gt;0,D11/Renda!D22,0)</f>
        <v>0</v>
      </c>
      <c r="L11" s="53">
        <f>IF(Renda!E22&gt;0,E11/Renda!E22,0)</f>
        <v>6.1733006151933295E-4</v>
      </c>
      <c r="M11" s="53">
        <f>IF(Renda!F22&gt;0,F11/Renda!F22,0)</f>
        <v>0</v>
      </c>
    </row>
    <row r="12" spans="1:13">
      <c r="A12" s="8" t="s">
        <v>14</v>
      </c>
      <c r="B12" s="9">
        <f t="shared" si="0"/>
        <v>3456512.4037680002</v>
      </c>
      <c r="C12" s="9">
        <f t="shared" si="1"/>
        <v>0</v>
      </c>
      <c r="D12" s="9">
        <f t="shared" si="2"/>
        <v>3082655.1070799995</v>
      </c>
      <c r="E12" s="9">
        <f t="shared" si="3"/>
        <v>25477.540199999996</v>
      </c>
      <c r="F12" s="9">
        <f t="shared" si="4"/>
        <v>8575078.3041726705</v>
      </c>
      <c r="H12" s="8" t="s">
        <v>14</v>
      </c>
      <c r="I12" s="53">
        <f>IF(Renda!B23&gt;0,B12/Renda!B23,0)</f>
        <v>4.0663081567812225E-2</v>
      </c>
      <c r="J12" s="53">
        <f>IF(Renda!C23&gt;0,C12/Renda!C23,0)</f>
        <v>0</v>
      </c>
      <c r="K12" s="53">
        <f>IF(Renda!D23&gt;0,D12/Renda!D23,0)</f>
        <v>5.0293364876889061E-4</v>
      </c>
      <c r="L12" s="53">
        <f>IF(Renda!E23&gt;0,E12/Renda!E23,0)</f>
        <v>3.0479471253220001E-4</v>
      </c>
      <c r="M12" s="53">
        <f>IF(Renda!F23&gt;0,F12/Renda!F23,0)</f>
        <v>2.9630909558136056E-3</v>
      </c>
    </row>
    <row r="13" spans="1:13">
      <c r="A13" s="8" t="s">
        <v>15</v>
      </c>
      <c r="B13" s="9">
        <f t="shared" si="0"/>
        <v>38697.750575999991</v>
      </c>
      <c r="C13" s="9">
        <f t="shared" si="1"/>
        <v>135542.22961919996</v>
      </c>
      <c r="D13" s="9">
        <f t="shared" si="2"/>
        <v>25.403940000000002</v>
      </c>
      <c r="E13" s="9">
        <f t="shared" si="3"/>
        <v>7279.2971999999982</v>
      </c>
      <c r="F13" s="9">
        <f t="shared" si="4"/>
        <v>0</v>
      </c>
      <c r="H13" s="8" t="s">
        <v>15</v>
      </c>
      <c r="I13" s="53">
        <f>IF(Renda!B24&gt;0,B13/Renda!B24,0)</f>
        <v>1.7446937679315461E-2</v>
      </c>
      <c r="J13" s="53">
        <f>IF(Renda!C24&gt;0,C13/Renda!C24,0)</f>
        <v>9.9265578456426973E-2</v>
      </c>
      <c r="K13" s="53">
        <f>IF(Renda!D24&gt;0,D13/Renda!D24,0)</f>
        <v>2.9855116325123871E-8</v>
      </c>
      <c r="L13" s="53">
        <f>IF(Renda!E24&gt;0,E13/Renda!E24,0)</f>
        <v>5.0488876503081922E-5</v>
      </c>
      <c r="M13" s="53">
        <f>IF(Renda!F24&gt;0,F13/Renda!F24,0)</f>
        <v>0</v>
      </c>
    </row>
    <row r="14" spans="1:13">
      <c r="A14" s="8" t="s">
        <v>16</v>
      </c>
      <c r="B14" s="9">
        <f t="shared" si="0"/>
        <v>1473417.3612599997</v>
      </c>
      <c r="C14" s="9">
        <f t="shared" si="1"/>
        <v>0</v>
      </c>
      <c r="D14" s="9">
        <f t="shared" si="2"/>
        <v>3188.3131799999992</v>
      </c>
      <c r="E14" s="9">
        <f t="shared" si="3"/>
        <v>7279.2971999999982</v>
      </c>
      <c r="F14" s="9">
        <f t="shared" si="4"/>
        <v>0</v>
      </c>
      <c r="H14" s="8" t="s">
        <v>16</v>
      </c>
      <c r="I14" s="53">
        <f>IF(Renda!B25&gt;0,B14/Renda!B25,0)</f>
        <v>2.9890040996104289E-2</v>
      </c>
      <c r="J14" s="53">
        <f>IF(Renda!C25&gt;0,C14/Renda!C25,0)</f>
        <v>0</v>
      </c>
      <c r="K14" s="53">
        <f>IF(Renda!D25&gt;0,D14/Renda!D25,0)</f>
        <v>6.7625151713997662E-7</v>
      </c>
      <c r="L14" s="53">
        <f>IF(Renda!E25&gt;0,E14/Renda!E25,0)</f>
        <v>4.6206508890171227E-4</v>
      </c>
      <c r="M14" s="53">
        <f>IF(Renda!F25&gt;0,F14/Renda!F25,0)</f>
        <v>0</v>
      </c>
    </row>
    <row r="15" spans="1:13" ht="12.75" thickBot="1">
      <c r="A15" s="36" t="s">
        <v>17</v>
      </c>
      <c r="B15" s="37">
        <f>SUM(B9:B14)</f>
        <v>4977706.9787280001</v>
      </c>
      <c r="C15" s="37">
        <f t="shared" ref="C15:E15" si="5">SUM(C9:C14)</f>
        <v>135542.22961919996</v>
      </c>
      <c r="D15" s="37">
        <f t="shared" si="5"/>
        <v>3085919.1572399996</v>
      </c>
      <c r="E15" s="37">
        <f t="shared" si="5"/>
        <v>58234.377599999993</v>
      </c>
      <c r="F15" s="37">
        <f>SUM(F9:F14)</f>
        <v>8575078.3041726705</v>
      </c>
      <c r="H15" s="36" t="s">
        <v>17</v>
      </c>
      <c r="I15" s="54">
        <f>IF(B15&gt;0,B15/Renda!B26,0)</f>
        <v>3.2522375247177458E-2</v>
      </c>
      <c r="J15" s="54">
        <f>IF(C15&gt;0,C15/Renda!C26,0)</f>
        <v>8.9673827028549799E-2</v>
      </c>
      <c r="K15" s="54">
        <f>IF(D15&gt;0,D15/Renda!D26,0)</f>
        <v>2.3051648904760273E-4</v>
      </c>
      <c r="L15" s="54">
        <f>IF(E15&gt;0,E15/Renda!E26,0)</f>
        <v>1.9621809944887891E-4</v>
      </c>
      <c r="M15" s="54">
        <f>IF(F15&gt;0,F15/Renda!F26,0)</f>
        <v>2.9630909558136056E-3</v>
      </c>
    </row>
    <row r="16" spans="1:13">
      <c r="A16" s="43"/>
      <c r="B16" s="73"/>
      <c r="C16" s="73"/>
      <c r="D16" s="73"/>
      <c r="E16" s="73"/>
      <c r="F16" s="73"/>
      <c r="H16" s="43"/>
      <c r="I16" s="74"/>
      <c r="J16" s="74"/>
      <c r="K16" s="74"/>
      <c r="L16" s="74"/>
      <c r="M16" s="74"/>
    </row>
    <row r="17" spans="1:17">
      <c r="A17" s="43"/>
      <c r="B17" s="73"/>
      <c r="C17" s="73"/>
      <c r="D17" s="73"/>
      <c r="E17" s="73"/>
      <c r="F17" s="73"/>
      <c r="H17" s="43"/>
      <c r="I17" s="74"/>
      <c r="J17" s="74"/>
      <c r="K17" s="74"/>
      <c r="L17" s="74"/>
      <c r="M17" s="74"/>
    </row>
    <row r="18" spans="1:17">
      <c r="A18" s="43" t="s">
        <v>49</v>
      </c>
      <c r="B18" s="73"/>
      <c r="C18" s="73"/>
      <c r="D18" s="73"/>
      <c r="E18" s="73"/>
      <c r="F18" s="73"/>
      <c r="H18" s="43"/>
      <c r="I18" s="74"/>
      <c r="J18" s="74"/>
      <c r="K18" s="74"/>
      <c r="L18" s="74"/>
      <c r="M18" s="74"/>
    </row>
    <row r="19" spans="1:17">
      <c r="A19" s="43"/>
      <c r="B19" s="73"/>
      <c r="C19" s="73"/>
      <c r="D19" s="73"/>
      <c r="E19" s="73"/>
      <c r="F19" s="73"/>
      <c r="H19" s="43"/>
      <c r="I19" s="74"/>
      <c r="J19" s="74"/>
      <c r="K19" s="74"/>
      <c r="L19" s="74"/>
      <c r="M19" s="74"/>
    </row>
    <row r="20" spans="1:17">
      <c r="A20" s="43"/>
      <c r="B20" s="73"/>
      <c r="C20" s="73"/>
      <c r="D20" s="73"/>
      <c r="E20" s="73"/>
      <c r="F20" s="73"/>
      <c r="H20" s="43"/>
      <c r="I20" s="74"/>
      <c r="J20" s="74"/>
      <c r="K20" s="74"/>
      <c r="L20" s="74"/>
      <c r="M20" s="74"/>
    </row>
    <row r="24" spans="1:17" ht="12.75" thickBot="1">
      <c r="A24" s="46"/>
      <c r="B24" s="10"/>
      <c r="C24" s="10"/>
      <c r="D24" s="10"/>
      <c r="E24" s="10"/>
      <c r="F24" s="10"/>
      <c r="G24" s="10"/>
      <c r="H24" s="10"/>
      <c r="I24" s="41"/>
      <c r="J24" s="41"/>
      <c r="K24" s="10"/>
      <c r="L24" s="10"/>
      <c r="M24" s="10"/>
      <c r="N24" s="10"/>
      <c r="O24" s="10"/>
      <c r="P24" s="10"/>
      <c r="Q24" s="10"/>
    </row>
    <row r="25" spans="1:17" ht="15.75" customHeight="1" thickBot="1">
      <c r="A25" s="157" t="s">
        <v>42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</row>
    <row r="26" spans="1:17" ht="36.75" customHeight="1" thickBot="1">
      <c r="A26" s="158" t="s">
        <v>36</v>
      </c>
      <c r="B26" s="160" t="s">
        <v>37</v>
      </c>
      <c r="C26" s="160"/>
      <c r="D26" s="160"/>
      <c r="E26" s="160"/>
      <c r="F26" s="160"/>
      <c r="G26" s="161" t="s">
        <v>86</v>
      </c>
      <c r="H26" s="161"/>
      <c r="I26" s="161"/>
      <c r="J26" s="161"/>
      <c r="K26" s="162" t="s">
        <v>88</v>
      </c>
      <c r="L26" s="162"/>
      <c r="M26" s="83" t="s">
        <v>91</v>
      </c>
      <c r="N26" s="163" t="s">
        <v>82</v>
      </c>
      <c r="O26" s="163"/>
      <c r="P26" s="163"/>
      <c r="Q26" s="163"/>
    </row>
    <row r="27" spans="1:17" ht="24.75" thickBot="1">
      <c r="A27" s="159"/>
      <c r="B27" s="44" t="s">
        <v>38</v>
      </c>
      <c r="C27" s="44" t="s">
        <v>87</v>
      </c>
      <c r="D27" s="44" t="s">
        <v>89</v>
      </c>
      <c r="E27" s="44" t="s">
        <v>90</v>
      </c>
      <c r="F27" s="44" t="s">
        <v>97</v>
      </c>
      <c r="G27" s="80" t="s">
        <v>99</v>
      </c>
      <c r="H27" s="80" t="s">
        <v>94</v>
      </c>
      <c r="I27" s="80" t="s">
        <v>95</v>
      </c>
      <c r="J27" s="80" t="s">
        <v>98</v>
      </c>
      <c r="K27" s="91" t="s">
        <v>96</v>
      </c>
      <c r="L27" s="91" t="s">
        <v>98</v>
      </c>
      <c r="M27" s="84" t="s">
        <v>92</v>
      </c>
      <c r="N27" s="88" t="s">
        <v>83</v>
      </c>
      <c r="O27" s="88" t="s">
        <v>84</v>
      </c>
      <c r="P27" s="88" t="s">
        <v>85</v>
      </c>
      <c r="Q27" s="88" t="s">
        <v>93</v>
      </c>
    </row>
    <row r="28" spans="1:17">
      <c r="A28" s="8" t="s">
        <v>11</v>
      </c>
      <c r="B28" s="50">
        <f>IF(B$3='Base Cenários'!A$3,'Base Cenários'!B7,(IF(B$3='Base Cenários'!A$14,'Base Cenários'!B18,'Base Cenários'!B29)))</f>
        <v>0</v>
      </c>
      <c r="C28" s="45">
        <f>B28*24*60*60*365</f>
        <v>0</v>
      </c>
      <c r="D28" s="76">
        <v>1</v>
      </c>
      <c r="E28" s="78">
        <v>1</v>
      </c>
      <c r="F28" s="92">
        <f>C$4</f>
        <v>6.5949999999999995E-2</v>
      </c>
      <c r="G28" s="81">
        <v>0.5</v>
      </c>
      <c r="H28" s="81">
        <f t="shared" ref="H28:H33" si="6">C28</f>
        <v>0</v>
      </c>
      <c r="I28" s="81">
        <v>0</v>
      </c>
      <c r="J28" s="95">
        <f>C$4</f>
        <v>6.5949999999999995E-2</v>
      </c>
      <c r="K28" s="47">
        <f>IF(B$3='Base Cenários'!A$3,'Base Cenários'!I7,(IF(B$3='Base Cenários'!A$14,'Base Cenários'!I18,'Base Cenários'!I29)))</f>
        <v>1018.8000000000001</v>
      </c>
      <c r="L28" s="47">
        <f>C$4</f>
        <v>6.5949999999999995E-2</v>
      </c>
      <c r="M28" s="85">
        <v>1</v>
      </c>
      <c r="N28" s="89">
        <f>C28*D28*E28*F28</f>
        <v>0</v>
      </c>
      <c r="O28" s="89">
        <f>IF(H28&gt;0,(H28-I28)*J28*(C28/H28)*G28,0)</f>
        <v>0</v>
      </c>
      <c r="P28" s="89">
        <f>K28*L28</f>
        <v>67.189859999999996</v>
      </c>
      <c r="Q28" s="89">
        <f>(N28+O28+P28)*M28</f>
        <v>67.189859999999996</v>
      </c>
    </row>
    <row r="29" spans="1:17">
      <c r="A29" s="8" t="s">
        <v>12</v>
      </c>
      <c r="B29" s="50">
        <f>IF(B$3='Base Cenários'!A$3,'Base Cenários'!B8,(IF(B$3='Base Cenários'!A$14,'Base Cenários'!B19,'Base Cenários'!B30)))</f>
        <v>2.5000000000000001E-3</v>
      </c>
      <c r="C29" s="45">
        <f t="shared" ref="C29:C33" si="7">B29*24*60*60*365</f>
        <v>78839.999999999985</v>
      </c>
      <c r="D29" s="76">
        <v>1</v>
      </c>
      <c r="E29" s="78">
        <v>1</v>
      </c>
      <c r="F29" s="92">
        <f t="shared" ref="F29:F33" si="8">C$4</f>
        <v>6.5949999999999995E-2</v>
      </c>
      <c r="G29" s="81">
        <v>0.5</v>
      </c>
      <c r="H29" s="81">
        <f t="shared" si="6"/>
        <v>78839.999999999985</v>
      </c>
      <c r="I29" s="81">
        <v>0</v>
      </c>
      <c r="J29" s="95">
        <f t="shared" ref="J29:J33" si="9">C$4</f>
        <v>6.5949999999999995E-2</v>
      </c>
      <c r="K29" s="47">
        <f>IF(B$3='Base Cenários'!A$3,'Base Cenários'!I8,(IF(B$3='Base Cenários'!A$14,'Base Cenários'!I19,'Base Cenários'!I30)))</f>
        <v>7171.2000000000007</v>
      </c>
      <c r="L29" s="47">
        <f t="shared" ref="L29:L33" si="10">C$4</f>
        <v>6.5949999999999995E-2</v>
      </c>
      <c r="M29" s="85">
        <v>1</v>
      </c>
      <c r="N29" s="89">
        <f>C29*D29*E29*F29</f>
        <v>5199.4979999999987</v>
      </c>
      <c r="O29" s="89">
        <f t="shared" ref="O29:O33" si="11">IF(H29&gt;0,(H29-I29)*J29*(C29/H29)*G29,0)</f>
        <v>2599.7489999999993</v>
      </c>
      <c r="P29" s="89">
        <f t="shared" ref="P29:P33" si="12">K29*L29</f>
        <v>472.94064000000003</v>
      </c>
      <c r="Q29" s="89">
        <f t="shared" ref="Q29:Q33" si="13">(N29+O29+P29)*M29</f>
        <v>8272.1876399999983</v>
      </c>
    </row>
    <row r="30" spans="1:17">
      <c r="A30" s="8" t="s">
        <v>13</v>
      </c>
      <c r="B30" s="50">
        <f>IF(B$3='Base Cenários'!A$3,'Base Cenários'!B9,(IF(B$3='Base Cenários'!A$14,'Base Cenários'!B20,'Base Cenários'!B31)))</f>
        <v>2.0000000000000001E-4</v>
      </c>
      <c r="C30" s="45">
        <f t="shared" si="7"/>
        <v>6307.2000000000007</v>
      </c>
      <c r="D30" s="76">
        <v>1</v>
      </c>
      <c r="E30" s="78">
        <v>0.85</v>
      </c>
      <c r="F30" s="92">
        <f t="shared" si="8"/>
        <v>6.5949999999999995E-2</v>
      </c>
      <c r="G30" s="81">
        <v>0.5</v>
      </c>
      <c r="H30" s="81">
        <f t="shared" si="6"/>
        <v>6307.2000000000007</v>
      </c>
      <c r="I30" s="81">
        <v>0</v>
      </c>
      <c r="J30" s="95">
        <f t="shared" si="9"/>
        <v>6.5949999999999995E-2</v>
      </c>
      <c r="K30" s="47">
        <f>IF(B$3='Base Cenários'!A$3,'Base Cenários'!I9,(IF(B$3='Base Cenários'!A$14,'Base Cenários'!I20,'Base Cenários'!I31)))</f>
        <v>2707.2</v>
      </c>
      <c r="L30" s="47">
        <f t="shared" si="10"/>
        <v>6.5949999999999995E-2</v>
      </c>
      <c r="M30" s="85">
        <v>1</v>
      </c>
      <c r="N30" s="89">
        <f t="shared" ref="N30:N33" si="14">C30*D30*E30*F30</f>
        <v>353.56586400000003</v>
      </c>
      <c r="O30" s="89">
        <f t="shared" si="11"/>
        <v>207.97992000000002</v>
      </c>
      <c r="P30" s="89">
        <f t="shared" si="12"/>
        <v>178.53983999999997</v>
      </c>
      <c r="Q30" s="89">
        <f t="shared" si="13"/>
        <v>740.08562400000005</v>
      </c>
    </row>
    <row r="31" spans="1:17">
      <c r="A31" s="8" t="s">
        <v>14</v>
      </c>
      <c r="B31" s="50">
        <f>IF(B$3='Base Cenários'!A$3,'Base Cenários'!B10,(IF(B$3='Base Cenários'!A$14,'Base Cenários'!B21,'Base Cenários'!B32)))</f>
        <v>1.1142000000000001</v>
      </c>
      <c r="C31" s="45">
        <f t="shared" si="7"/>
        <v>35137411.200000003</v>
      </c>
      <c r="D31" s="76">
        <v>1</v>
      </c>
      <c r="E31" s="78">
        <v>0.95</v>
      </c>
      <c r="F31" s="92">
        <f t="shared" si="8"/>
        <v>6.5949999999999995E-2</v>
      </c>
      <c r="G31" s="81">
        <v>0.5</v>
      </c>
      <c r="H31" s="81">
        <f t="shared" si="6"/>
        <v>35137411.200000003</v>
      </c>
      <c r="I31" s="81">
        <v>0</v>
      </c>
      <c r="J31" s="95">
        <f t="shared" si="9"/>
        <v>6.5949999999999995E-2</v>
      </c>
      <c r="K31" s="47">
        <f>IF(B$3='Base Cenários'!A$3,'Base Cenários'!I10,(IF(B$3='Base Cenários'!A$14,'Base Cenários'!I21,'Base Cenários'!I32)))</f>
        <v>1461859.2</v>
      </c>
      <c r="L31" s="47">
        <f t="shared" si="10"/>
        <v>6.5949999999999995E-2</v>
      </c>
      <c r="M31" s="85">
        <v>1</v>
      </c>
      <c r="N31" s="89">
        <f t="shared" si="14"/>
        <v>2201446.655208</v>
      </c>
      <c r="O31" s="89">
        <f t="shared" si="11"/>
        <v>1158656.13432</v>
      </c>
      <c r="P31" s="89">
        <f t="shared" si="12"/>
        <v>96409.614239999995</v>
      </c>
      <c r="Q31" s="89">
        <f t="shared" si="13"/>
        <v>3456512.4037680002</v>
      </c>
    </row>
    <row r="32" spans="1:17">
      <c r="A32" s="8" t="s">
        <v>15</v>
      </c>
      <c r="B32" s="50">
        <f>IF(B$3='Base Cenários'!A$3,'Base Cenários'!B11,(IF(B$3='Base Cenários'!A$14,'Base Cenários'!B22,'Base Cenários'!B33)))</f>
        <v>1.2699999999999999E-2</v>
      </c>
      <c r="C32" s="45">
        <f t="shared" si="7"/>
        <v>400507.1999999999</v>
      </c>
      <c r="D32" s="76">
        <v>1</v>
      </c>
      <c r="E32" s="78">
        <v>0.9</v>
      </c>
      <c r="F32" s="92">
        <f t="shared" si="8"/>
        <v>6.5949999999999995E-2</v>
      </c>
      <c r="G32" s="81">
        <v>0.5</v>
      </c>
      <c r="H32" s="81">
        <f t="shared" si="6"/>
        <v>400507.1999999999</v>
      </c>
      <c r="I32" s="81">
        <v>0</v>
      </c>
      <c r="J32" s="95">
        <f t="shared" si="9"/>
        <v>6.5949999999999995E-2</v>
      </c>
      <c r="K32" s="47">
        <f>IF(B$3='Base Cenários'!A$3,'Base Cenários'!I11,(IF(B$3='Base Cenários'!A$14,'Base Cenários'!I22,'Base Cenários'!I33)))</f>
        <v>26064.000000000004</v>
      </c>
      <c r="L32" s="47">
        <f t="shared" si="10"/>
        <v>6.5949999999999995E-2</v>
      </c>
      <c r="M32" s="85">
        <v>1</v>
      </c>
      <c r="N32" s="89">
        <f t="shared" si="14"/>
        <v>23772.104855999994</v>
      </c>
      <c r="O32" s="89">
        <f t="shared" si="11"/>
        <v>13206.724919999995</v>
      </c>
      <c r="P32" s="89">
        <f t="shared" si="12"/>
        <v>1718.9208000000001</v>
      </c>
      <c r="Q32" s="89">
        <f t="shared" si="13"/>
        <v>38697.750575999991</v>
      </c>
    </row>
    <row r="33" spans="1:17" ht="12.75" thickBot="1">
      <c r="A33" s="10" t="s">
        <v>16</v>
      </c>
      <c r="B33" s="51">
        <f>IF(B$3='Base Cenários'!A$3,'Base Cenários'!B12,(IF(B$3='Base Cenários'!A$14,'Base Cenários'!B23,'Base Cenários'!B34)))</f>
        <v>0.46760000000000002</v>
      </c>
      <c r="C33" s="51">
        <f t="shared" si="7"/>
        <v>14746233.6</v>
      </c>
      <c r="D33" s="77">
        <v>1</v>
      </c>
      <c r="E33" s="79">
        <v>1</v>
      </c>
      <c r="F33" s="93">
        <f t="shared" si="8"/>
        <v>6.5949999999999995E-2</v>
      </c>
      <c r="G33" s="82">
        <v>0.5</v>
      </c>
      <c r="H33" s="82">
        <f t="shared" si="6"/>
        <v>14746233.6</v>
      </c>
      <c r="I33" s="82">
        <v>0</v>
      </c>
      <c r="J33" s="96">
        <f t="shared" si="9"/>
        <v>6.5949999999999995E-2</v>
      </c>
      <c r="K33" s="48">
        <f>IF(B$3='Base Cenários'!A$3,'Base Cenários'!I12,(IF(B$3='Base Cenários'!A$14,'Base Cenários'!I23,'Base Cenários'!I34)))</f>
        <v>222080.4</v>
      </c>
      <c r="L33" s="48">
        <f t="shared" si="10"/>
        <v>6.5949999999999995E-2</v>
      </c>
      <c r="M33" s="86">
        <v>1</v>
      </c>
      <c r="N33" s="90">
        <f t="shared" si="14"/>
        <v>972514.10591999989</v>
      </c>
      <c r="O33" s="90">
        <f t="shared" si="11"/>
        <v>486257.05295999994</v>
      </c>
      <c r="P33" s="90">
        <f t="shared" si="12"/>
        <v>14646.202379999999</v>
      </c>
      <c r="Q33" s="90">
        <f t="shared" si="13"/>
        <v>1473417.3612599997</v>
      </c>
    </row>
    <row r="34" spans="1:17" ht="12.75" thickBot="1">
      <c r="I34" s="8"/>
      <c r="M34" s="42"/>
      <c r="P34" s="46" t="s">
        <v>40</v>
      </c>
      <c r="Q34" s="94">
        <f>SUM(Q28:Q33)</f>
        <v>4977706.9787280001</v>
      </c>
    </row>
    <row r="35" spans="1:17">
      <c r="I35" s="8"/>
      <c r="M35" s="42"/>
      <c r="P35" s="43"/>
      <c r="Q35" s="73"/>
    </row>
    <row r="36" spans="1:17">
      <c r="I36" s="8"/>
      <c r="M36" s="42"/>
      <c r="P36" s="43"/>
      <c r="Q36" s="73"/>
    </row>
    <row r="37" spans="1:17">
      <c r="I37" s="8"/>
      <c r="M37" s="42"/>
      <c r="P37" s="43"/>
      <c r="Q37" s="73"/>
    </row>
    <row r="38" spans="1:17" ht="12.75" thickBot="1">
      <c r="A38" s="10"/>
      <c r="B38" s="10"/>
      <c r="C38" s="10"/>
      <c r="D38" s="10"/>
      <c r="E38" s="10"/>
      <c r="F38" s="10"/>
      <c r="G38" s="10"/>
      <c r="H38" s="10"/>
      <c r="I38" s="10"/>
      <c r="J38" s="41"/>
      <c r="K38" s="10"/>
      <c r="L38" s="10"/>
      <c r="M38" s="41"/>
    </row>
    <row r="39" spans="1:17" ht="15.75" customHeight="1" thickBot="1">
      <c r="A39" s="157" t="s">
        <v>43</v>
      </c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</row>
    <row r="40" spans="1:17" ht="15.75" customHeight="1" thickBot="1">
      <c r="A40" s="158" t="s">
        <v>36</v>
      </c>
      <c r="B40" s="160" t="s">
        <v>37</v>
      </c>
      <c r="C40" s="160"/>
      <c r="D40" s="160"/>
      <c r="E40" s="160"/>
      <c r="F40" s="161" t="s">
        <v>86</v>
      </c>
      <c r="G40" s="161"/>
      <c r="H40" s="161"/>
      <c r="I40" s="83" t="s">
        <v>91</v>
      </c>
      <c r="J40" s="97" t="s">
        <v>101</v>
      </c>
      <c r="K40" s="163" t="s">
        <v>82</v>
      </c>
      <c r="L40" s="163"/>
      <c r="M40" s="163"/>
    </row>
    <row r="41" spans="1:17" ht="12.75" thickBot="1">
      <c r="A41" s="159"/>
      <c r="B41" s="44" t="s">
        <v>38</v>
      </c>
      <c r="C41" s="44" t="s">
        <v>87</v>
      </c>
      <c r="D41" s="44" t="s">
        <v>89</v>
      </c>
      <c r="E41" s="44" t="s">
        <v>97</v>
      </c>
      <c r="F41" s="80" t="s">
        <v>94</v>
      </c>
      <c r="G41" s="80" t="s">
        <v>95</v>
      </c>
      <c r="H41" s="80" t="s">
        <v>98</v>
      </c>
      <c r="I41" s="84" t="s">
        <v>92</v>
      </c>
      <c r="J41" s="87" t="s">
        <v>102</v>
      </c>
      <c r="K41" s="88" t="s">
        <v>83</v>
      </c>
      <c r="L41" s="88" t="s">
        <v>84</v>
      </c>
      <c r="M41" s="88" t="s">
        <v>93</v>
      </c>
    </row>
    <row r="42" spans="1:17">
      <c r="A42" s="8" t="s">
        <v>11</v>
      </c>
      <c r="B42" s="50">
        <f>IF(B$3='Base Cenários'!A$3,'Base Cenários'!C7,(IF(B$3='Base Cenários'!A$14,'Base Cenários'!C18,'Base Cenários'!C29)))</f>
        <v>0</v>
      </c>
      <c r="C42" s="45">
        <f>B42*24*60*60*365</f>
        <v>0</v>
      </c>
      <c r="D42" s="76">
        <v>1</v>
      </c>
      <c r="E42" s="92">
        <f>C$4</f>
        <v>6.5949999999999995E-2</v>
      </c>
      <c r="F42" s="81">
        <f t="shared" ref="F42:F47" si="15">C42</f>
        <v>0</v>
      </c>
      <c r="G42" s="81">
        <v>0</v>
      </c>
      <c r="H42" s="95">
        <f>C$4</f>
        <v>6.5949999999999995E-2</v>
      </c>
      <c r="I42" s="85">
        <v>1</v>
      </c>
      <c r="J42" s="98">
        <v>0.1</v>
      </c>
      <c r="K42" s="89">
        <f t="shared" ref="K42:K47" si="16">C42*D42*E42</f>
        <v>0</v>
      </c>
      <c r="L42" s="89">
        <f t="shared" ref="L42:L47" si="17">IF(F42&gt;0,(F42-G42)*H42*(C42/F42),0)</f>
        <v>0</v>
      </c>
      <c r="M42" s="89">
        <f>(K42+L42)*I42*J42</f>
        <v>0</v>
      </c>
    </row>
    <row r="43" spans="1:17">
      <c r="A43" s="8" t="s">
        <v>12</v>
      </c>
      <c r="B43" s="50">
        <f>IF(B$3='Base Cenários'!A$3,'Base Cenários'!C8,(IF(B$3='Base Cenários'!A$14,'Base Cenários'!C19,'Base Cenários'!C30)))</f>
        <v>0</v>
      </c>
      <c r="C43" s="45">
        <f t="shared" ref="C43:C47" si="18">B43*24*60*60*365</f>
        <v>0</v>
      </c>
      <c r="D43" s="76">
        <v>1</v>
      </c>
      <c r="E43" s="92">
        <f t="shared" ref="E43:E47" si="19">C$4</f>
        <v>6.5949999999999995E-2</v>
      </c>
      <c r="F43" s="81">
        <f t="shared" si="15"/>
        <v>0</v>
      </c>
      <c r="G43" s="81">
        <v>0</v>
      </c>
      <c r="H43" s="95">
        <f t="shared" ref="H43:H47" si="20">C$4</f>
        <v>6.5949999999999995E-2</v>
      </c>
      <c r="I43" s="85">
        <v>1</v>
      </c>
      <c r="J43" s="98">
        <v>0.1</v>
      </c>
      <c r="K43" s="89">
        <f t="shared" si="16"/>
        <v>0</v>
      </c>
      <c r="L43" s="89">
        <f t="shared" si="17"/>
        <v>0</v>
      </c>
      <c r="M43" s="89">
        <f t="shared" ref="M43:M47" si="21">(K43+L43)*I43*J43</f>
        <v>0</v>
      </c>
    </row>
    <row r="44" spans="1:17">
      <c r="A44" s="8" t="s">
        <v>13</v>
      </c>
      <c r="B44" s="50">
        <f>IF(B$3='Base Cenários'!A$3,'Base Cenários'!C9,(IF(B$3='Base Cenários'!A$14,'Base Cenários'!C20,'Base Cenários'!C31)))</f>
        <v>0</v>
      </c>
      <c r="C44" s="45">
        <f t="shared" si="18"/>
        <v>0</v>
      </c>
      <c r="D44" s="76">
        <v>1</v>
      </c>
      <c r="E44" s="92">
        <f t="shared" si="19"/>
        <v>6.5949999999999995E-2</v>
      </c>
      <c r="F44" s="81">
        <f t="shared" si="15"/>
        <v>0</v>
      </c>
      <c r="G44" s="81">
        <v>0</v>
      </c>
      <c r="H44" s="95">
        <f t="shared" si="20"/>
        <v>6.5949999999999995E-2</v>
      </c>
      <c r="I44" s="85">
        <v>1</v>
      </c>
      <c r="J44" s="98">
        <v>0.1</v>
      </c>
      <c r="K44" s="89">
        <f t="shared" si="16"/>
        <v>0</v>
      </c>
      <c r="L44" s="89">
        <f t="shared" si="17"/>
        <v>0</v>
      </c>
      <c r="M44" s="89">
        <f t="shared" si="21"/>
        <v>0</v>
      </c>
    </row>
    <row r="45" spans="1:17">
      <c r="A45" s="8" t="s">
        <v>14</v>
      </c>
      <c r="B45" s="50">
        <f>IF(B$3='Base Cenários'!A$3,'Base Cenários'!C10,(IF(B$3='Base Cenários'!A$14,'Base Cenários'!C21,'Base Cenários'!C32)))</f>
        <v>0</v>
      </c>
      <c r="C45" s="45">
        <f t="shared" si="18"/>
        <v>0</v>
      </c>
      <c r="D45" s="76">
        <v>1</v>
      </c>
      <c r="E45" s="92">
        <f t="shared" si="19"/>
        <v>6.5949999999999995E-2</v>
      </c>
      <c r="F45" s="81">
        <f t="shared" si="15"/>
        <v>0</v>
      </c>
      <c r="G45" s="81">
        <v>0</v>
      </c>
      <c r="H45" s="95">
        <f t="shared" si="20"/>
        <v>6.5949999999999995E-2</v>
      </c>
      <c r="I45" s="85">
        <v>1</v>
      </c>
      <c r="J45" s="98">
        <v>0.1</v>
      </c>
      <c r="K45" s="89">
        <f t="shared" si="16"/>
        <v>0</v>
      </c>
      <c r="L45" s="89">
        <f t="shared" si="17"/>
        <v>0</v>
      </c>
      <c r="M45" s="89">
        <f t="shared" si="21"/>
        <v>0</v>
      </c>
    </row>
    <row r="46" spans="1:17">
      <c r="A46" s="8" t="s">
        <v>15</v>
      </c>
      <c r="B46" s="50">
        <f>IF(B$3='Base Cenários'!A$3,'Base Cenários'!C11,(IF(B$3='Base Cenários'!A$14,'Base Cenários'!C22,'Base Cenários'!C33)))</f>
        <v>0.32585412480974124</v>
      </c>
      <c r="C46" s="45">
        <f t="shared" si="18"/>
        <v>10276135.679999998</v>
      </c>
      <c r="D46" s="76">
        <v>1</v>
      </c>
      <c r="E46" s="92">
        <f t="shared" si="19"/>
        <v>6.5949999999999995E-2</v>
      </c>
      <c r="F46" s="81">
        <f t="shared" si="15"/>
        <v>10276135.679999998</v>
      </c>
      <c r="G46" s="81">
        <v>0</v>
      </c>
      <c r="H46" s="95">
        <f t="shared" si="20"/>
        <v>6.5949999999999995E-2</v>
      </c>
      <c r="I46" s="85">
        <v>1</v>
      </c>
      <c r="J46" s="98">
        <v>0.1</v>
      </c>
      <c r="K46" s="89">
        <f t="shared" si="16"/>
        <v>677711.14809599984</v>
      </c>
      <c r="L46" s="89">
        <f t="shared" si="17"/>
        <v>677711.14809599984</v>
      </c>
      <c r="M46" s="89">
        <f t="shared" si="21"/>
        <v>135542.22961919996</v>
      </c>
    </row>
    <row r="47" spans="1:17" ht="12.75" thickBot="1">
      <c r="A47" s="10" t="s">
        <v>16</v>
      </c>
      <c r="B47" s="51">
        <f>IF(B$3='Base Cenários'!A$3,'Base Cenários'!C12,(IF(B$3='Base Cenários'!A$14,'Base Cenários'!C23,'Base Cenários'!C34)))</f>
        <v>0</v>
      </c>
      <c r="C47" s="51">
        <f t="shared" si="18"/>
        <v>0</v>
      </c>
      <c r="D47" s="77">
        <v>1</v>
      </c>
      <c r="E47" s="93">
        <f t="shared" si="19"/>
        <v>6.5949999999999995E-2</v>
      </c>
      <c r="F47" s="82">
        <f t="shared" si="15"/>
        <v>0</v>
      </c>
      <c r="G47" s="82">
        <v>0</v>
      </c>
      <c r="H47" s="96">
        <f t="shared" si="20"/>
        <v>6.5949999999999995E-2</v>
      </c>
      <c r="I47" s="86">
        <v>1</v>
      </c>
      <c r="J47" s="99">
        <v>0.1</v>
      </c>
      <c r="K47" s="90">
        <f t="shared" si="16"/>
        <v>0</v>
      </c>
      <c r="L47" s="90">
        <f t="shared" si="17"/>
        <v>0</v>
      </c>
      <c r="M47" s="90">
        <f t="shared" si="21"/>
        <v>0</v>
      </c>
    </row>
    <row r="48" spans="1:17" ht="12.75" thickBot="1">
      <c r="L48" s="46" t="s">
        <v>40</v>
      </c>
      <c r="M48" s="94">
        <f>SUM(M42:M47)</f>
        <v>135542.22961919996</v>
      </c>
    </row>
    <row r="50" spans="1:15" ht="12.75" thickBot="1">
      <c r="A50" s="10"/>
      <c r="B50" s="10"/>
      <c r="C50" s="10"/>
      <c r="D50" s="10"/>
      <c r="E50" s="10"/>
      <c r="F50" s="10"/>
      <c r="G50" s="10"/>
      <c r="H50" s="10"/>
      <c r="I50" s="41"/>
      <c r="J50" s="41"/>
      <c r="K50" s="10"/>
      <c r="L50" s="10"/>
      <c r="M50" s="10"/>
      <c r="N50" s="10"/>
      <c r="O50" s="10"/>
    </row>
    <row r="51" spans="1:15" ht="15.75" customHeight="1" thickBot="1">
      <c r="A51" s="165" t="s">
        <v>3</v>
      </c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</row>
    <row r="52" spans="1:15" ht="15.75" customHeight="1" thickBot="1">
      <c r="A52" s="158" t="s">
        <v>36</v>
      </c>
      <c r="B52" s="75" t="s">
        <v>37</v>
      </c>
      <c r="C52" s="75"/>
      <c r="D52" s="75"/>
      <c r="E52" s="75"/>
      <c r="F52" s="164" t="s">
        <v>86</v>
      </c>
      <c r="G52" s="164"/>
      <c r="H52" s="164"/>
      <c r="I52" s="162" t="s">
        <v>88</v>
      </c>
      <c r="J52" s="162"/>
      <c r="K52" s="83" t="s">
        <v>91</v>
      </c>
      <c r="L52" s="163" t="s">
        <v>82</v>
      </c>
      <c r="M52" s="163"/>
      <c r="N52" s="163"/>
      <c r="O52" s="163"/>
    </row>
    <row r="53" spans="1:15" ht="12.75" thickBot="1">
      <c r="A53" s="159"/>
      <c r="B53" s="44" t="s">
        <v>38</v>
      </c>
      <c r="C53" s="44" t="s">
        <v>87</v>
      </c>
      <c r="D53" s="44" t="s">
        <v>89</v>
      </c>
      <c r="E53" s="44" t="s">
        <v>97</v>
      </c>
      <c r="F53" s="80" t="s">
        <v>94</v>
      </c>
      <c r="G53" s="80" t="s">
        <v>95</v>
      </c>
      <c r="H53" s="80" t="s">
        <v>98</v>
      </c>
      <c r="I53" s="91" t="s">
        <v>96</v>
      </c>
      <c r="J53" s="91" t="s">
        <v>98</v>
      </c>
      <c r="K53" s="84" t="s">
        <v>92</v>
      </c>
      <c r="L53" s="88" t="s">
        <v>83</v>
      </c>
      <c r="M53" s="88" t="s">
        <v>84</v>
      </c>
      <c r="N53" s="88" t="s">
        <v>85</v>
      </c>
      <c r="O53" s="88" t="s">
        <v>93</v>
      </c>
    </row>
    <row r="54" spans="1:15">
      <c r="A54" s="8" t="s">
        <v>11</v>
      </c>
      <c r="B54" s="50">
        <f>IF(B$3='Base Cenários'!A$3,'Base Cenários'!D7,(IF(B$3='Base Cenários'!A$14,'Base Cenários'!D18,'Base Cenários'!D29)))</f>
        <v>0</v>
      </c>
      <c r="C54" s="45">
        <f>B54*24*60*60*365</f>
        <v>0</v>
      </c>
      <c r="D54" s="76">
        <v>1</v>
      </c>
      <c r="E54" s="92">
        <f>C$4</f>
        <v>6.5949999999999995E-2</v>
      </c>
      <c r="F54" s="81">
        <f t="shared" ref="F54:F59" si="22">C54</f>
        <v>0</v>
      </c>
      <c r="G54" s="81">
        <v>0</v>
      </c>
      <c r="H54" s="95">
        <f>C$4</f>
        <v>6.5949999999999995E-2</v>
      </c>
      <c r="I54" s="47">
        <f>IF(B$3='Base Cenários'!A$3,'Base Cenários'!J7,(IF(B$3='Base Cenários'!A$14,'Base Cenários'!J18,'Base Cenários'!J29)))</f>
        <v>763.2</v>
      </c>
      <c r="J54" s="47">
        <f>C$4</f>
        <v>6.5949999999999995E-2</v>
      </c>
      <c r="K54" s="85">
        <v>1</v>
      </c>
      <c r="L54" s="89">
        <f>C54*D54*E54</f>
        <v>0</v>
      </c>
      <c r="M54" s="89">
        <f>IF(F54&gt;0,(F54-G54)*H54*(C54/F54),0)</f>
        <v>0</v>
      </c>
      <c r="N54" s="89">
        <f>I54*J54</f>
        <v>50.333039999999997</v>
      </c>
      <c r="O54" s="89">
        <f>(L54+M54+N54)*K54</f>
        <v>50.333039999999997</v>
      </c>
    </row>
    <row r="55" spans="1:15">
      <c r="A55" s="8" t="s">
        <v>12</v>
      </c>
      <c r="B55" s="50">
        <f>IF(B$3='Base Cenários'!A$3,'Base Cenários'!D8,(IF(B$3='Base Cenários'!A$14,'Base Cenários'!D19,'Base Cenários'!D30)))</f>
        <v>0</v>
      </c>
      <c r="C55" s="45">
        <f t="shared" ref="C55:C59" si="23">B55*24*60*60*365</f>
        <v>0</v>
      </c>
      <c r="D55" s="76">
        <v>1</v>
      </c>
      <c r="E55" s="92">
        <f t="shared" ref="E55:E59" si="24">C$4</f>
        <v>6.5949999999999995E-2</v>
      </c>
      <c r="F55" s="81">
        <f t="shared" si="22"/>
        <v>0</v>
      </c>
      <c r="G55" s="81">
        <v>0</v>
      </c>
      <c r="H55" s="95">
        <f t="shared" ref="H55:H59" si="25">C$4</f>
        <v>6.5949999999999995E-2</v>
      </c>
      <c r="I55" s="47">
        <f>IF(B$3='Base Cenários'!A$3,'Base Cenários'!J8,(IF(B$3='Base Cenários'!A$14,'Base Cenários'!J19,'Base Cenários'!J30)))</f>
        <v>0</v>
      </c>
      <c r="J55" s="47">
        <f t="shared" ref="J55:J59" si="26">C$4</f>
        <v>6.5949999999999995E-2</v>
      </c>
      <c r="K55" s="85">
        <v>1</v>
      </c>
      <c r="L55" s="89">
        <f t="shared" ref="L55:L59" si="27">C55*D55*E55</f>
        <v>0</v>
      </c>
      <c r="M55" s="89">
        <f t="shared" ref="M55:M59" si="28">IF(F55&gt;0,(F55-G55)*H55*(C55/F55),0)</f>
        <v>0</v>
      </c>
      <c r="N55" s="89">
        <f t="shared" ref="N55:N59" si="29">I55*J55</f>
        <v>0</v>
      </c>
      <c r="O55" s="89">
        <f t="shared" ref="O55:O59" si="30">(L55+M55+N55)*K55</f>
        <v>0</v>
      </c>
    </row>
    <row r="56" spans="1:15">
      <c r="A56" s="8" t="s">
        <v>13</v>
      </c>
      <c r="B56" s="50">
        <f>IF(B$3='Base Cenários'!A$3,'Base Cenários'!D9,(IF(B$3='Base Cenários'!A$14,'Base Cenários'!D20,'Base Cenários'!D31)))</f>
        <v>0</v>
      </c>
      <c r="C56" s="45">
        <f t="shared" si="23"/>
        <v>0</v>
      </c>
      <c r="D56" s="76">
        <v>1</v>
      </c>
      <c r="E56" s="92">
        <f t="shared" si="24"/>
        <v>6.5949999999999995E-2</v>
      </c>
      <c r="F56" s="81">
        <f t="shared" si="22"/>
        <v>0</v>
      </c>
      <c r="G56" s="81">
        <v>0</v>
      </c>
      <c r="H56" s="95">
        <f t="shared" si="25"/>
        <v>6.5949999999999995E-2</v>
      </c>
      <c r="I56" s="47">
        <f>IF(B$3='Base Cenários'!A$3,'Base Cenários'!J9,(IF(B$3='Base Cenários'!A$14,'Base Cenários'!J20,'Base Cenários'!J31)))</f>
        <v>0</v>
      </c>
      <c r="J56" s="47">
        <f t="shared" si="26"/>
        <v>6.5949999999999995E-2</v>
      </c>
      <c r="K56" s="85">
        <v>1</v>
      </c>
      <c r="L56" s="89">
        <f t="shared" si="27"/>
        <v>0</v>
      </c>
      <c r="M56" s="89">
        <f t="shared" si="28"/>
        <v>0</v>
      </c>
      <c r="N56" s="89">
        <f t="shared" si="29"/>
        <v>0</v>
      </c>
      <c r="O56" s="89">
        <f t="shared" si="30"/>
        <v>0</v>
      </c>
    </row>
    <row r="57" spans="1:15">
      <c r="A57" s="8" t="s">
        <v>14</v>
      </c>
      <c r="B57" s="50">
        <f>IF(B$3='Base Cenários'!A$3,'Base Cenários'!D10,(IF(B$3='Base Cenários'!A$14,'Base Cenários'!D21,'Base Cenários'!D32)))</f>
        <v>0.74039999999999995</v>
      </c>
      <c r="C57" s="45">
        <f t="shared" si="23"/>
        <v>23349254.399999999</v>
      </c>
      <c r="D57" s="76">
        <v>1</v>
      </c>
      <c r="E57" s="92">
        <f t="shared" si="24"/>
        <v>6.5949999999999995E-2</v>
      </c>
      <c r="F57" s="81">
        <f t="shared" si="22"/>
        <v>23349254.399999999</v>
      </c>
      <c r="G57" s="81">
        <v>0</v>
      </c>
      <c r="H57" s="95">
        <f t="shared" si="25"/>
        <v>6.5949999999999995E-2</v>
      </c>
      <c r="I57" s="47">
        <f>IF(B$3='Base Cenários'!A$3,'Base Cenários'!J10,(IF(B$3='Base Cenários'!A$14,'Base Cenários'!J21,'Base Cenários'!J32)))</f>
        <v>43797.599999999999</v>
      </c>
      <c r="J57" s="47">
        <f t="shared" si="26"/>
        <v>6.5949999999999995E-2</v>
      </c>
      <c r="K57" s="85">
        <v>1</v>
      </c>
      <c r="L57" s="89">
        <f t="shared" si="27"/>
        <v>1539883.3276799999</v>
      </c>
      <c r="M57" s="89">
        <f t="shared" si="28"/>
        <v>1539883.3276799999</v>
      </c>
      <c r="N57" s="89">
        <f t="shared" si="29"/>
        <v>2888.4517199999996</v>
      </c>
      <c r="O57" s="89">
        <f t="shared" si="30"/>
        <v>3082655.1070799995</v>
      </c>
    </row>
    <row r="58" spans="1:15">
      <c r="A58" s="8" t="s">
        <v>15</v>
      </c>
      <c r="B58" s="50">
        <f>IF(B$3='Base Cenários'!A$3,'Base Cenários'!D11,(IF(B$3='Base Cenários'!A$14,'Base Cenários'!D22,'Base Cenários'!D33)))</f>
        <v>0</v>
      </c>
      <c r="C58" s="45">
        <f t="shared" si="23"/>
        <v>0</v>
      </c>
      <c r="D58" s="76">
        <v>1</v>
      </c>
      <c r="E58" s="92">
        <f t="shared" si="24"/>
        <v>6.5949999999999995E-2</v>
      </c>
      <c r="F58" s="81">
        <f t="shared" si="22"/>
        <v>0</v>
      </c>
      <c r="G58" s="81">
        <v>0</v>
      </c>
      <c r="H58" s="95">
        <f t="shared" si="25"/>
        <v>6.5949999999999995E-2</v>
      </c>
      <c r="I58" s="47">
        <f>IF(B$3='Base Cenários'!A$3,'Base Cenários'!J11,(IF(B$3='Base Cenários'!A$14,'Base Cenários'!J22,'Base Cenários'!J33)))</f>
        <v>385.20000000000005</v>
      </c>
      <c r="J58" s="47">
        <f t="shared" si="26"/>
        <v>6.5949999999999995E-2</v>
      </c>
      <c r="K58" s="85">
        <v>1</v>
      </c>
      <c r="L58" s="89">
        <f t="shared" si="27"/>
        <v>0</v>
      </c>
      <c r="M58" s="89">
        <f t="shared" si="28"/>
        <v>0</v>
      </c>
      <c r="N58" s="89">
        <f t="shared" si="29"/>
        <v>25.403940000000002</v>
      </c>
      <c r="O58" s="89">
        <f t="shared" si="30"/>
        <v>25.403940000000002</v>
      </c>
    </row>
    <row r="59" spans="1:15" ht="12.75" thickBot="1">
      <c r="A59" s="10" t="s">
        <v>16</v>
      </c>
      <c r="B59" s="51">
        <f>IF(B$3='Base Cenários'!A$3,'Base Cenários'!D12,(IF(B$3='Base Cenários'!A$14,'Base Cenários'!D23,'Base Cenários'!D34)))</f>
        <v>5.9999999999999995E-4</v>
      </c>
      <c r="C59" s="51">
        <f t="shared" si="23"/>
        <v>18921.599999999999</v>
      </c>
      <c r="D59" s="77">
        <v>1</v>
      </c>
      <c r="E59" s="93">
        <f t="shared" si="24"/>
        <v>6.5949999999999995E-2</v>
      </c>
      <c r="F59" s="82">
        <f t="shared" si="22"/>
        <v>18921.599999999999</v>
      </c>
      <c r="G59" s="82">
        <v>0</v>
      </c>
      <c r="H59" s="96">
        <f t="shared" si="25"/>
        <v>6.5949999999999995E-2</v>
      </c>
      <c r="I59" s="48">
        <f>IF(B$3='Base Cenários'!A$3,'Base Cenários'!J12,(IF(B$3='Base Cenários'!A$14,'Base Cenários'!J23,'Base Cenários'!J34)))</f>
        <v>10501.2</v>
      </c>
      <c r="J59" s="48">
        <f t="shared" si="26"/>
        <v>6.5949999999999995E-2</v>
      </c>
      <c r="K59" s="86">
        <v>1</v>
      </c>
      <c r="L59" s="90">
        <f t="shared" si="27"/>
        <v>1247.8795199999997</v>
      </c>
      <c r="M59" s="90">
        <f t="shared" si="28"/>
        <v>1247.8795199999997</v>
      </c>
      <c r="N59" s="90">
        <f t="shared" si="29"/>
        <v>692.55413999999996</v>
      </c>
      <c r="O59" s="90">
        <f t="shared" si="30"/>
        <v>3188.3131799999992</v>
      </c>
    </row>
    <row r="60" spans="1:15" ht="12.75" thickBot="1">
      <c r="N60" s="46" t="s">
        <v>40</v>
      </c>
      <c r="O60" s="94">
        <f>SUM(O54:O59)</f>
        <v>3085919.1572399996</v>
      </c>
    </row>
    <row r="62" spans="1:15" ht="12.75" thickBot="1">
      <c r="A62" s="10"/>
      <c r="B62" s="10"/>
      <c r="C62" s="10"/>
      <c r="D62" s="10"/>
      <c r="E62" s="10"/>
      <c r="F62" s="10"/>
      <c r="G62" s="10"/>
      <c r="H62" s="10"/>
      <c r="I62" s="41"/>
      <c r="J62" s="41"/>
      <c r="K62" s="10"/>
      <c r="L62" s="10"/>
    </row>
    <row r="63" spans="1:15" ht="15.75" customHeight="1" thickBot="1">
      <c r="A63" s="165" t="s">
        <v>4</v>
      </c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</row>
    <row r="64" spans="1:15" ht="15.75" customHeight="1" thickBot="1">
      <c r="A64" s="158" t="s">
        <v>36</v>
      </c>
      <c r="B64" s="160" t="s">
        <v>37</v>
      </c>
      <c r="C64" s="160"/>
      <c r="D64" s="160"/>
      <c r="E64" s="160"/>
      <c r="F64" s="164" t="s">
        <v>86</v>
      </c>
      <c r="G64" s="164"/>
      <c r="H64" s="83" t="s">
        <v>91</v>
      </c>
      <c r="I64" s="97" t="s">
        <v>101</v>
      </c>
      <c r="J64" s="163" t="s">
        <v>82</v>
      </c>
      <c r="K64" s="163"/>
      <c r="L64" s="163"/>
    </row>
    <row r="65" spans="1:15" ht="12.75" thickBot="1">
      <c r="A65" s="159"/>
      <c r="B65" s="44" t="s">
        <v>38</v>
      </c>
      <c r="C65" s="44" t="s">
        <v>87</v>
      </c>
      <c r="D65" s="44" t="s">
        <v>89</v>
      </c>
      <c r="E65" s="44" t="s">
        <v>97</v>
      </c>
      <c r="F65" s="80" t="s">
        <v>99</v>
      </c>
      <c r="G65" s="80" t="s">
        <v>98</v>
      </c>
      <c r="H65" s="84" t="s">
        <v>92</v>
      </c>
      <c r="I65" s="87" t="s">
        <v>102</v>
      </c>
      <c r="J65" s="88" t="s">
        <v>83</v>
      </c>
      <c r="K65" s="88" t="s">
        <v>84</v>
      </c>
      <c r="L65" s="88" t="s">
        <v>93</v>
      </c>
    </row>
    <row r="66" spans="1:15">
      <c r="A66" s="8" t="s">
        <v>11</v>
      </c>
      <c r="B66" s="50">
        <f>IF(B$3='Base Cenários'!A$3,'Base Cenários'!E7,(IF(B$3='Base Cenários'!A$14,'Base Cenários'!E18,'Base Cenários'!E29)))</f>
        <v>1E-3</v>
      </c>
      <c r="C66" s="45">
        <f>B66*24*60*60*365</f>
        <v>31535.999999999996</v>
      </c>
      <c r="D66" s="76">
        <v>1</v>
      </c>
      <c r="E66" s="92">
        <f>C$4</f>
        <v>6.5949999999999995E-2</v>
      </c>
      <c r="F66" s="81">
        <v>0.75</v>
      </c>
      <c r="G66" s="95">
        <f>C$4</f>
        <v>6.5949999999999995E-2</v>
      </c>
      <c r="H66" s="85">
        <v>1</v>
      </c>
      <c r="I66" s="98">
        <v>0.5</v>
      </c>
      <c r="J66" s="89">
        <f t="shared" ref="J66:J71" si="31">C66*D66*E66</f>
        <v>2079.7991999999995</v>
      </c>
      <c r="K66" s="89">
        <f>C66*F66*G66</f>
        <v>1559.8493999999996</v>
      </c>
      <c r="L66" s="89">
        <f>(J66+K66)*H66*I66</f>
        <v>1819.8242999999995</v>
      </c>
    </row>
    <row r="67" spans="1:15">
      <c r="A67" s="8" t="s">
        <v>12</v>
      </c>
      <c r="B67" s="50">
        <f>IF(B$3='Base Cenários'!A$3,'Base Cenários'!E8,(IF(B$3='Base Cenários'!A$14,'Base Cenários'!E19,'Base Cenários'!E30)))</f>
        <v>1E-3</v>
      </c>
      <c r="C67" s="45">
        <f t="shared" ref="C67:C71" si="32">B67*24*60*60*365</f>
        <v>31535.999999999996</v>
      </c>
      <c r="D67" s="76">
        <v>1</v>
      </c>
      <c r="E67" s="92">
        <f t="shared" ref="E67:E71" si="33">C$4</f>
        <v>6.5949999999999995E-2</v>
      </c>
      <c r="F67" s="81">
        <v>0.75</v>
      </c>
      <c r="G67" s="95">
        <f t="shared" ref="G67:G71" si="34">C$4</f>
        <v>6.5949999999999995E-2</v>
      </c>
      <c r="H67" s="85">
        <v>1</v>
      </c>
      <c r="I67" s="98">
        <v>0.5</v>
      </c>
      <c r="J67" s="89">
        <f t="shared" si="31"/>
        <v>2079.7991999999995</v>
      </c>
      <c r="K67" s="89">
        <f t="shared" ref="K67:K71" si="35">C67*F67*G67</f>
        <v>1559.8493999999996</v>
      </c>
      <c r="L67" s="89">
        <f t="shared" ref="L67:L71" si="36">(J67+K67)*H67*I67</f>
        <v>1819.8242999999995</v>
      </c>
    </row>
    <row r="68" spans="1:15">
      <c r="A68" s="8" t="s">
        <v>13</v>
      </c>
      <c r="B68" s="50">
        <f>IF(B$3='Base Cenários'!A$3,'Base Cenários'!E9,(IF(B$3='Base Cenários'!A$14,'Base Cenários'!E20,'Base Cenários'!E31)))</f>
        <v>8.0000000000000002E-3</v>
      </c>
      <c r="C68" s="45">
        <f t="shared" si="32"/>
        <v>252287.99999999997</v>
      </c>
      <c r="D68" s="76">
        <v>1</v>
      </c>
      <c r="E68" s="92">
        <f t="shared" si="33"/>
        <v>6.5949999999999995E-2</v>
      </c>
      <c r="F68" s="81">
        <v>0.75</v>
      </c>
      <c r="G68" s="95">
        <f t="shared" si="34"/>
        <v>6.5949999999999995E-2</v>
      </c>
      <c r="H68" s="85">
        <v>1</v>
      </c>
      <c r="I68" s="98">
        <v>0.5</v>
      </c>
      <c r="J68" s="89">
        <f t="shared" si="31"/>
        <v>16638.393599999996</v>
      </c>
      <c r="K68" s="89">
        <f t="shared" si="35"/>
        <v>12478.795199999997</v>
      </c>
      <c r="L68" s="89">
        <f t="shared" si="36"/>
        <v>14558.594399999996</v>
      </c>
    </row>
    <row r="69" spans="1:15">
      <c r="A69" s="8" t="s">
        <v>14</v>
      </c>
      <c r="B69" s="50">
        <f>IF(B$3='Base Cenários'!A$3,'Base Cenários'!E10,(IF(B$3='Base Cenários'!A$14,'Base Cenários'!E21,'Base Cenários'!E32)))</f>
        <v>1.4E-2</v>
      </c>
      <c r="C69" s="45">
        <f t="shared" si="32"/>
        <v>441503.99999999994</v>
      </c>
      <c r="D69" s="76">
        <v>1</v>
      </c>
      <c r="E69" s="92">
        <f t="shared" si="33"/>
        <v>6.5949999999999995E-2</v>
      </c>
      <c r="F69" s="81">
        <v>0.75</v>
      </c>
      <c r="G69" s="95">
        <f t="shared" si="34"/>
        <v>6.5949999999999995E-2</v>
      </c>
      <c r="H69" s="85">
        <v>1</v>
      </c>
      <c r="I69" s="98">
        <v>0.5</v>
      </c>
      <c r="J69" s="89">
        <f t="shared" si="31"/>
        <v>29117.188799999993</v>
      </c>
      <c r="K69" s="89">
        <f t="shared" si="35"/>
        <v>21837.891599999995</v>
      </c>
      <c r="L69" s="89">
        <f t="shared" si="36"/>
        <v>25477.540199999996</v>
      </c>
    </row>
    <row r="70" spans="1:15">
      <c r="A70" s="8" t="s">
        <v>15</v>
      </c>
      <c r="B70" s="50">
        <f>IF(B$3='Base Cenários'!A$3,'Base Cenários'!E11,(IF(B$3='Base Cenários'!A$14,'Base Cenários'!E22,'Base Cenários'!E33)))</f>
        <v>4.0000000000000001E-3</v>
      </c>
      <c r="C70" s="45">
        <f t="shared" si="32"/>
        <v>126143.99999999999</v>
      </c>
      <c r="D70" s="76">
        <v>1</v>
      </c>
      <c r="E70" s="92">
        <f t="shared" si="33"/>
        <v>6.5949999999999995E-2</v>
      </c>
      <c r="F70" s="81">
        <v>0.75</v>
      </c>
      <c r="G70" s="95">
        <f t="shared" si="34"/>
        <v>6.5949999999999995E-2</v>
      </c>
      <c r="H70" s="85">
        <v>1</v>
      </c>
      <c r="I70" s="98">
        <v>0.5</v>
      </c>
      <c r="J70" s="89">
        <f t="shared" si="31"/>
        <v>8319.1967999999979</v>
      </c>
      <c r="K70" s="89">
        <f t="shared" si="35"/>
        <v>6239.3975999999984</v>
      </c>
      <c r="L70" s="89">
        <f t="shared" si="36"/>
        <v>7279.2971999999982</v>
      </c>
    </row>
    <row r="71" spans="1:15" ht="12.75" thickBot="1">
      <c r="A71" s="10" t="s">
        <v>16</v>
      </c>
      <c r="B71" s="51">
        <f>IF(B$3='Base Cenários'!A$3,'Base Cenários'!E12,(IF(B$3='Base Cenários'!A$14,'Base Cenários'!E23,'Base Cenários'!E34)))</f>
        <v>4.0000000000000001E-3</v>
      </c>
      <c r="C71" s="51">
        <f t="shared" si="32"/>
        <v>126143.99999999999</v>
      </c>
      <c r="D71" s="77">
        <v>1</v>
      </c>
      <c r="E71" s="93">
        <f t="shared" si="33"/>
        <v>6.5949999999999995E-2</v>
      </c>
      <c r="F71" s="82">
        <v>0.75</v>
      </c>
      <c r="G71" s="96">
        <f t="shared" si="34"/>
        <v>6.5949999999999995E-2</v>
      </c>
      <c r="H71" s="86">
        <v>1</v>
      </c>
      <c r="I71" s="99">
        <v>0.5</v>
      </c>
      <c r="J71" s="90">
        <f t="shared" si="31"/>
        <v>8319.1967999999979</v>
      </c>
      <c r="K71" s="90">
        <f t="shared" si="35"/>
        <v>6239.3975999999984</v>
      </c>
      <c r="L71" s="90">
        <f t="shared" si="36"/>
        <v>7279.2971999999982</v>
      </c>
    </row>
    <row r="72" spans="1:15" ht="12.75" thickBot="1">
      <c r="K72" s="46" t="s">
        <v>40</v>
      </c>
      <c r="L72" s="94">
        <f>SUM(L66:L71)</f>
        <v>58234.377599999993</v>
      </c>
    </row>
    <row r="73" spans="1:15">
      <c r="K73" s="43"/>
      <c r="L73" s="73"/>
    </row>
    <row r="74" spans="1:15" ht="12.75" thickBot="1"/>
    <row r="75" spans="1:15" ht="12.75" thickBot="1">
      <c r="A75" s="165" t="s">
        <v>44</v>
      </c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</row>
    <row r="76" spans="1:15" ht="15.75" customHeight="1" thickBot="1">
      <c r="A76" s="158" t="s">
        <v>36</v>
      </c>
      <c r="B76" s="75" t="s">
        <v>37</v>
      </c>
      <c r="C76" s="75"/>
      <c r="D76" s="75"/>
      <c r="E76" s="75"/>
      <c r="F76" s="164" t="s">
        <v>86</v>
      </c>
      <c r="G76" s="164"/>
      <c r="H76" s="164"/>
      <c r="I76" s="162" t="s">
        <v>88</v>
      </c>
      <c r="J76" s="162"/>
      <c r="K76" s="83" t="s">
        <v>91</v>
      </c>
      <c r="L76" s="163" t="s">
        <v>82</v>
      </c>
      <c r="M76" s="163"/>
      <c r="N76" s="163"/>
      <c r="O76" s="163"/>
    </row>
    <row r="77" spans="1:15" ht="12.75" thickBot="1">
      <c r="A77" s="159"/>
      <c r="B77" s="44" t="s">
        <v>38</v>
      </c>
      <c r="C77" s="44" t="s">
        <v>87</v>
      </c>
      <c r="D77" s="44" t="s">
        <v>89</v>
      </c>
      <c r="E77" s="44" t="s">
        <v>97</v>
      </c>
      <c r="F77" s="80" t="s">
        <v>94</v>
      </c>
      <c r="G77" s="80" t="s">
        <v>95</v>
      </c>
      <c r="H77" s="80" t="s">
        <v>98</v>
      </c>
      <c r="I77" s="91" t="s">
        <v>96</v>
      </c>
      <c r="J77" s="91" t="s">
        <v>98</v>
      </c>
      <c r="K77" s="84" t="s">
        <v>92</v>
      </c>
      <c r="L77" s="88" t="s">
        <v>83</v>
      </c>
      <c r="M77" s="88" t="s">
        <v>84</v>
      </c>
      <c r="N77" s="88" t="s">
        <v>85</v>
      </c>
      <c r="O77" s="88" t="s">
        <v>93</v>
      </c>
    </row>
    <row r="78" spans="1:15">
      <c r="A78" s="8" t="s">
        <v>11</v>
      </c>
      <c r="B78" s="50">
        <f>IF(B$3='Base Cenários'!A$3,'Base Cenários'!F7,(IF(B$3='Base Cenários'!A$14,'Base Cenários'!F18,'Base Cenários'!F29)))</f>
        <v>0</v>
      </c>
      <c r="C78" s="45">
        <f>B78*24*60*60*365</f>
        <v>0</v>
      </c>
      <c r="D78" s="76">
        <v>1</v>
      </c>
      <c r="E78" s="92">
        <f>C$4</f>
        <v>6.5949999999999995E-2</v>
      </c>
      <c r="F78" s="81">
        <f t="shared" ref="F78:F83" si="37">C78</f>
        <v>0</v>
      </c>
      <c r="G78" s="81">
        <v>0</v>
      </c>
      <c r="H78" s="95">
        <f>C$4</f>
        <v>6.5949999999999995E-2</v>
      </c>
      <c r="I78" s="47">
        <f>IF(B$3='Base Cenários'!A$3,'Base Cenários'!K7,(IF(B$3='Base Cenários'!A$14,'Base Cenários'!K18,'Base Cenários'!K29)))</f>
        <v>0</v>
      </c>
      <c r="J78" s="47">
        <f>C$4</f>
        <v>6.5949999999999995E-2</v>
      </c>
      <c r="K78" s="85">
        <v>1</v>
      </c>
      <c r="L78" s="89">
        <f>C78*D78*E78</f>
        <v>0</v>
      </c>
      <c r="M78" s="89">
        <f>IF(F78&gt;0,(F78-G78)*H78*(C78/F78),0)</f>
        <v>0</v>
      </c>
      <c r="N78" s="89">
        <f>I78*J78</f>
        <v>0</v>
      </c>
      <c r="O78" s="89">
        <f>(L78+M78+N78)*K78</f>
        <v>0</v>
      </c>
    </row>
    <row r="79" spans="1:15">
      <c r="A79" s="8" t="s">
        <v>12</v>
      </c>
      <c r="B79" s="50">
        <f>IF(B$3='Base Cenários'!A$3,'Base Cenários'!F8,(IF(B$3='Base Cenários'!A$14,'Base Cenários'!F19,'Base Cenários'!F30)))</f>
        <v>0</v>
      </c>
      <c r="C79" s="45">
        <f t="shared" ref="C79:C83" si="38">B79*24*60*60*365</f>
        <v>0</v>
      </c>
      <c r="D79" s="76">
        <v>1</v>
      </c>
      <c r="E79" s="92">
        <f t="shared" ref="E79:E83" si="39">C$4</f>
        <v>6.5949999999999995E-2</v>
      </c>
      <c r="F79" s="81">
        <f t="shared" si="37"/>
        <v>0</v>
      </c>
      <c r="G79" s="81">
        <v>0</v>
      </c>
      <c r="H79" s="95">
        <f t="shared" ref="H79:H83" si="40">C$4</f>
        <v>6.5949999999999995E-2</v>
      </c>
      <c r="I79" s="47">
        <f>IF(B$3='Base Cenários'!A$3,'Base Cenários'!K8,(IF(B$3='Base Cenários'!A$14,'Base Cenários'!K19,'Base Cenários'!K30)))</f>
        <v>0</v>
      </c>
      <c r="J79" s="47">
        <f t="shared" ref="J79:J83" si="41">C$4</f>
        <v>6.5949999999999995E-2</v>
      </c>
      <c r="K79" s="85">
        <v>1</v>
      </c>
      <c r="L79" s="89">
        <f t="shared" ref="L79:L83" si="42">C79*D79*E79</f>
        <v>0</v>
      </c>
      <c r="M79" s="89">
        <f t="shared" ref="M79:M83" si="43">IF(F79&gt;0,(F79-G79)*H79*(C79/F79),0)</f>
        <v>0</v>
      </c>
      <c r="N79" s="89">
        <f t="shared" ref="N79:N83" si="44">I79*J79</f>
        <v>0</v>
      </c>
      <c r="O79" s="89">
        <f t="shared" ref="O79:O83" si="45">(L79+M79+N79)*K79</f>
        <v>0</v>
      </c>
    </row>
    <row r="80" spans="1:15">
      <c r="A80" s="8" t="s">
        <v>13</v>
      </c>
      <c r="B80" s="50">
        <f>IF(B$3='Base Cenários'!A$3,'Base Cenários'!F9,(IF(B$3='Base Cenários'!A$14,'Base Cenários'!F20,'Base Cenários'!F31)))</f>
        <v>0</v>
      </c>
      <c r="C80" s="45">
        <f t="shared" si="38"/>
        <v>0</v>
      </c>
      <c r="D80" s="76">
        <v>1</v>
      </c>
      <c r="E80" s="92">
        <f t="shared" si="39"/>
        <v>6.5949999999999995E-2</v>
      </c>
      <c r="F80" s="81">
        <f t="shared" si="37"/>
        <v>0</v>
      </c>
      <c r="G80" s="81">
        <v>0</v>
      </c>
      <c r="H80" s="95">
        <f t="shared" si="40"/>
        <v>6.5949999999999995E-2</v>
      </c>
      <c r="I80" s="47">
        <f>IF(B$3='Base Cenários'!A$3,'Base Cenários'!K9,(IF(B$3='Base Cenários'!A$14,'Base Cenários'!K20,'Base Cenários'!K31)))</f>
        <v>0</v>
      </c>
      <c r="J80" s="47">
        <f t="shared" si="41"/>
        <v>6.5949999999999995E-2</v>
      </c>
      <c r="K80" s="85">
        <v>1</v>
      </c>
      <c r="L80" s="89">
        <f t="shared" si="42"/>
        <v>0</v>
      </c>
      <c r="M80" s="89">
        <f t="shared" si="43"/>
        <v>0</v>
      </c>
      <c r="N80" s="89">
        <f t="shared" si="44"/>
        <v>0</v>
      </c>
      <c r="O80" s="89">
        <f t="shared" si="45"/>
        <v>0</v>
      </c>
    </row>
    <row r="81" spans="1:15">
      <c r="A81" s="8" t="s">
        <v>14</v>
      </c>
      <c r="B81" s="50">
        <f>IF(B$3='Base Cenários'!A$3,'Base Cenários'!F10,(IF(B$3='Base Cenários'!A$14,'Base Cenários'!F21,'Base Cenários'!F32)))</f>
        <v>2.0501472602739725</v>
      </c>
      <c r="C81" s="45">
        <f t="shared" si="38"/>
        <v>64653443.999999993</v>
      </c>
      <c r="D81" s="76">
        <v>1</v>
      </c>
      <c r="E81" s="92">
        <f t="shared" si="39"/>
        <v>6.5949999999999995E-2</v>
      </c>
      <c r="F81" s="81">
        <f t="shared" si="37"/>
        <v>64653443.999999993</v>
      </c>
      <c r="G81" s="81">
        <v>0</v>
      </c>
      <c r="H81" s="95">
        <f t="shared" si="40"/>
        <v>6.5949999999999995E-2</v>
      </c>
      <c r="I81" s="47">
        <f>IF(B$3='Base Cenários'!A$3,'Base Cenários'!K10,(IF(B$3='Base Cenários'!A$14,'Base Cenários'!K21,'Base Cenários'!K32)))</f>
        <v>717043.82975999999</v>
      </c>
      <c r="J81" s="47">
        <f t="shared" si="41"/>
        <v>6.5949999999999995E-2</v>
      </c>
      <c r="K81" s="85">
        <v>1</v>
      </c>
      <c r="L81" s="89">
        <f t="shared" si="42"/>
        <v>4263894.6317999996</v>
      </c>
      <c r="M81" s="89">
        <f t="shared" si="43"/>
        <v>4263894.6317999996</v>
      </c>
      <c r="N81" s="89">
        <f t="shared" si="44"/>
        <v>47289.040572671998</v>
      </c>
      <c r="O81" s="89">
        <f t="shared" si="45"/>
        <v>8575078.3041726705</v>
      </c>
    </row>
    <row r="82" spans="1:15">
      <c r="A82" s="8" t="s">
        <v>15</v>
      </c>
      <c r="B82" s="50">
        <f>IF(B$3='Base Cenários'!A$3,'Base Cenários'!F11,(IF(B$3='Base Cenários'!A$14,'Base Cenários'!F22,'Base Cenários'!F33)))</f>
        <v>0</v>
      </c>
      <c r="C82" s="45">
        <f t="shared" si="38"/>
        <v>0</v>
      </c>
      <c r="D82" s="76">
        <v>1</v>
      </c>
      <c r="E82" s="92">
        <f t="shared" si="39"/>
        <v>6.5949999999999995E-2</v>
      </c>
      <c r="F82" s="81">
        <f t="shared" si="37"/>
        <v>0</v>
      </c>
      <c r="G82" s="81">
        <v>0</v>
      </c>
      <c r="H82" s="95">
        <f t="shared" si="40"/>
        <v>6.5949999999999995E-2</v>
      </c>
      <c r="I82" s="47">
        <f>IF(B$3='Base Cenários'!A$3,'Base Cenários'!K11,(IF(B$3='Base Cenários'!A$14,'Base Cenários'!K22,'Base Cenários'!K33)))</f>
        <v>0</v>
      </c>
      <c r="J82" s="47">
        <f t="shared" si="41"/>
        <v>6.5949999999999995E-2</v>
      </c>
      <c r="K82" s="85">
        <v>1</v>
      </c>
      <c r="L82" s="89">
        <f t="shared" si="42"/>
        <v>0</v>
      </c>
      <c r="M82" s="89">
        <f t="shared" si="43"/>
        <v>0</v>
      </c>
      <c r="N82" s="89">
        <f t="shared" si="44"/>
        <v>0</v>
      </c>
      <c r="O82" s="89">
        <f t="shared" si="45"/>
        <v>0</v>
      </c>
    </row>
    <row r="83" spans="1:15" ht="12.75" thickBot="1">
      <c r="A83" s="10" t="s">
        <v>16</v>
      </c>
      <c r="B83" s="51">
        <f>IF(B$3='Base Cenários'!A$3,'Base Cenários'!F12,(IF(B$3='Base Cenários'!A$14,'Base Cenários'!F23,'Base Cenários'!F34)))</f>
        <v>0</v>
      </c>
      <c r="C83" s="51">
        <f t="shared" si="38"/>
        <v>0</v>
      </c>
      <c r="D83" s="77">
        <v>1</v>
      </c>
      <c r="E83" s="93">
        <f t="shared" si="39"/>
        <v>6.5949999999999995E-2</v>
      </c>
      <c r="F83" s="82">
        <f t="shared" si="37"/>
        <v>0</v>
      </c>
      <c r="G83" s="82">
        <v>0</v>
      </c>
      <c r="H83" s="96">
        <f t="shared" si="40"/>
        <v>6.5949999999999995E-2</v>
      </c>
      <c r="I83" s="48">
        <f>IF(B$3='Base Cenários'!A$3,'Base Cenários'!K12,(IF(B$3='Base Cenários'!A$14,'Base Cenários'!K23,'Base Cenários'!K34)))</f>
        <v>0</v>
      </c>
      <c r="J83" s="48">
        <f t="shared" si="41"/>
        <v>6.5949999999999995E-2</v>
      </c>
      <c r="K83" s="86">
        <v>1</v>
      </c>
      <c r="L83" s="90">
        <f t="shared" si="42"/>
        <v>0</v>
      </c>
      <c r="M83" s="90">
        <f t="shared" si="43"/>
        <v>0</v>
      </c>
      <c r="N83" s="90">
        <f t="shared" si="44"/>
        <v>0</v>
      </c>
      <c r="O83" s="90">
        <f t="shared" si="45"/>
        <v>0</v>
      </c>
    </row>
    <row r="84" spans="1:15" ht="12.75" thickBot="1">
      <c r="N84" s="46" t="s">
        <v>40</v>
      </c>
      <c r="O84" s="94">
        <f>SUM(O78:O83)</f>
        <v>8575078.3041726705</v>
      </c>
    </row>
  </sheetData>
  <mergeCells count="34">
    <mergeCell ref="A1:M1"/>
    <mergeCell ref="B2:I2"/>
    <mergeCell ref="A6:F6"/>
    <mergeCell ref="H6:M6"/>
    <mergeCell ref="A7:A8"/>
    <mergeCell ref="H7:H8"/>
    <mergeCell ref="B8:F8"/>
    <mergeCell ref="I8:M8"/>
    <mergeCell ref="A25:Q25"/>
    <mergeCell ref="A26:A27"/>
    <mergeCell ref="B26:F26"/>
    <mergeCell ref="G26:J26"/>
    <mergeCell ref="K26:L26"/>
    <mergeCell ref="N26:Q26"/>
    <mergeCell ref="A64:A65"/>
    <mergeCell ref="B64:E64"/>
    <mergeCell ref="F64:G64"/>
    <mergeCell ref="J64:L64"/>
    <mergeCell ref="A39:M39"/>
    <mergeCell ref="A40:A41"/>
    <mergeCell ref="B40:E40"/>
    <mergeCell ref="F40:H40"/>
    <mergeCell ref="K40:M40"/>
    <mergeCell ref="A51:O51"/>
    <mergeCell ref="A52:A53"/>
    <mergeCell ref="F52:H52"/>
    <mergeCell ref="I52:J52"/>
    <mergeCell ref="L52:O52"/>
    <mergeCell ref="A63:L63"/>
    <mergeCell ref="A75:O75"/>
    <mergeCell ref="A76:A77"/>
    <mergeCell ref="F76:H76"/>
    <mergeCell ref="I76:J76"/>
    <mergeCell ref="L76:O76"/>
  </mergeCells>
  <dataValidations count="2">
    <dataValidation type="list" allowBlank="1" showInputMessage="1" showErrorMessage="1" sqref="B3" xr:uid="{0DC584F7-15E7-49C6-9CA8-0C1D7CDACCC3}">
      <formula1>"Cenário 1,Cenário 2,Cenário 3"</formula1>
    </dataValidation>
    <dataValidation type="list" allowBlank="1" showInputMessage="1" showErrorMessage="1" sqref="B4" xr:uid="{D4A3E8FC-2F85-41C2-9F8F-0A3D8923C559}">
      <formula1>"PPU 1,PPU 2,PPU 3"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A5679-174E-4BDA-9841-98DFB59756DA}">
  <dimension ref="A1:Q84"/>
  <sheetViews>
    <sheetView workbookViewId="0">
      <selection activeCell="B9" sqref="B9:F15"/>
    </sheetView>
  </sheetViews>
  <sheetFormatPr defaultColWidth="9.125" defaultRowHeight="12"/>
  <cols>
    <col min="1" max="1" width="19.75" style="8" bestFit="1" customWidth="1"/>
    <col min="2" max="2" width="16.25" style="8" bestFit="1" customWidth="1"/>
    <col min="3" max="4" width="15.25" style="8" bestFit="1" customWidth="1"/>
    <col min="5" max="5" width="12.75" style="8" bestFit="1" customWidth="1"/>
    <col min="6" max="6" width="16.125" style="8" bestFit="1" customWidth="1"/>
    <col min="7" max="7" width="12.375" style="8" customWidth="1"/>
    <col min="8" max="8" width="18.75" style="8" bestFit="1" customWidth="1"/>
    <col min="9" max="9" width="15.875" style="42" bestFit="1" customWidth="1"/>
    <col min="10" max="10" width="16.125" style="42" bestFit="1" customWidth="1"/>
    <col min="11" max="11" width="13.625" style="8" bestFit="1" customWidth="1"/>
    <col min="12" max="13" width="15" style="8" bestFit="1" customWidth="1"/>
    <col min="14" max="14" width="16" style="8" bestFit="1" customWidth="1"/>
    <col min="15" max="15" width="15" style="8" bestFit="1" customWidth="1"/>
    <col min="16" max="16" width="13.625" style="8" bestFit="1" customWidth="1"/>
    <col min="17" max="17" width="15" style="8" bestFit="1" customWidth="1"/>
    <col min="18" max="16384" width="9.125" style="8"/>
  </cols>
  <sheetData>
    <row r="1" spans="1:13" ht="15.75">
      <c r="A1" s="152" t="s">
        <v>116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</row>
    <row r="2" spans="1:13">
      <c r="A2" s="38" t="s">
        <v>34</v>
      </c>
      <c r="B2" s="153" t="s">
        <v>100</v>
      </c>
      <c r="C2" s="153"/>
      <c r="D2" s="153"/>
      <c r="E2" s="153"/>
      <c r="F2" s="153"/>
      <c r="G2" s="153"/>
      <c r="H2" s="153"/>
      <c r="I2" s="153"/>
      <c r="J2" s="39"/>
    </row>
    <row r="3" spans="1:13">
      <c r="A3" s="38" t="s">
        <v>35</v>
      </c>
      <c r="B3" s="40" t="s">
        <v>104</v>
      </c>
      <c r="C3" s="40"/>
      <c r="D3" s="40"/>
      <c r="E3" s="40"/>
      <c r="F3" s="40"/>
      <c r="G3" s="40"/>
      <c r="H3" s="40"/>
      <c r="I3" s="39"/>
      <c r="J3" s="39"/>
    </row>
    <row r="4" spans="1:13">
      <c r="A4" s="38" t="s">
        <v>81</v>
      </c>
      <c r="B4" s="40" t="s">
        <v>63</v>
      </c>
      <c r="C4" s="52">
        <f>IF(B4='Base Cenários'!M2,'Base Cenários'!N2,(IF('Cenário B.3.2'!B4='Base Cenários'!M3,'Base Cenários'!N3,'Base Cenários'!N4)))</f>
        <v>8.405E-2</v>
      </c>
      <c r="D4" s="40" t="s">
        <v>41</v>
      </c>
      <c r="E4" s="40"/>
      <c r="F4" s="40"/>
      <c r="G4" s="40"/>
      <c r="H4" s="40"/>
      <c r="I4" s="39"/>
      <c r="J4" s="39"/>
    </row>
    <row r="5" spans="1:13" ht="12.75" thickBot="1">
      <c r="A5" s="10"/>
      <c r="B5" s="10"/>
      <c r="C5" s="10"/>
      <c r="D5" s="10"/>
      <c r="E5" s="10"/>
      <c r="F5" s="10"/>
      <c r="H5" s="10"/>
      <c r="I5" s="41"/>
      <c r="J5" s="41"/>
      <c r="K5" s="10"/>
      <c r="L5" s="10"/>
      <c r="M5" s="10"/>
    </row>
    <row r="6" spans="1:13">
      <c r="A6" s="154" t="s">
        <v>46</v>
      </c>
      <c r="B6" s="154"/>
      <c r="C6" s="154"/>
      <c r="D6" s="154"/>
      <c r="E6" s="154"/>
      <c r="F6" s="154"/>
      <c r="H6" s="154" t="s">
        <v>47</v>
      </c>
      <c r="I6" s="154"/>
      <c r="J6" s="154"/>
      <c r="K6" s="154"/>
      <c r="L6" s="154"/>
      <c r="M6" s="154"/>
    </row>
    <row r="7" spans="1:13" s="11" customFormat="1">
      <c r="A7" s="155" t="s">
        <v>45</v>
      </c>
      <c r="B7" s="35" t="s">
        <v>1</v>
      </c>
      <c r="C7" s="35" t="s">
        <v>2</v>
      </c>
      <c r="D7" s="35" t="s">
        <v>3</v>
      </c>
      <c r="E7" s="35" t="s">
        <v>4</v>
      </c>
      <c r="F7" s="35" t="s">
        <v>5</v>
      </c>
      <c r="H7" s="155" t="s">
        <v>45</v>
      </c>
      <c r="I7" s="35" t="s">
        <v>1</v>
      </c>
      <c r="J7" s="35" t="s">
        <v>2</v>
      </c>
      <c r="K7" s="35" t="s">
        <v>3</v>
      </c>
      <c r="L7" s="35" t="s">
        <v>4</v>
      </c>
      <c r="M7" s="35" t="s">
        <v>5</v>
      </c>
    </row>
    <row r="8" spans="1:13">
      <c r="A8" s="156"/>
      <c r="B8" s="144" t="s">
        <v>39</v>
      </c>
      <c r="C8" s="144"/>
      <c r="D8" s="144"/>
      <c r="E8" s="144"/>
      <c r="F8" s="144"/>
      <c r="H8" s="156"/>
      <c r="I8" s="144" t="s">
        <v>48</v>
      </c>
      <c r="J8" s="144"/>
      <c r="K8" s="144"/>
      <c r="L8" s="144"/>
      <c r="M8" s="144"/>
    </row>
    <row r="9" spans="1:13">
      <c r="A9" s="8" t="s">
        <v>11</v>
      </c>
      <c r="B9" s="9">
        <f t="shared" ref="B9:B14" si="0">Q28</f>
        <v>85.630140000000011</v>
      </c>
      <c r="C9" s="9">
        <f>M42</f>
        <v>0</v>
      </c>
      <c r="D9" s="9">
        <f>O54</f>
        <v>64.146960000000007</v>
      </c>
      <c r="E9" s="9">
        <f>L66</f>
        <v>2319.2756999999997</v>
      </c>
      <c r="F9" s="9">
        <f>O78</f>
        <v>0</v>
      </c>
      <c r="H9" s="8" t="s">
        <v>11</v>
      </c>
      <c r="I9" s="53">
        <f>IF(Renda!B20&gt;0,B9/Renda!B20,0)</f>
        <v>5.5103681784642635E-5</v>
      </c>
      <c r="J9" s="53">
        <f>IF(Renda!C20&gt;0,C9/Renda!C20,0)</f>
        <v>0</v>
      </c>
      <c r="K9" s="53">
        <f>IF(Renda!D20&gt;0,D9/Renda!D20,0)</f>
        <v>1.706482152596086E-7</v>
      </c>
      <c r="L9" s="53">
        <f>IF(Renda!E20&gt;0,E9/Renda!E20,0)</f>
        <v>1.5709768031858934E-4</v>
      </c>
      <c r="M9" s="53">
        <f>IF(Renda!F20&gt;0,F9/Renda!F20,0)</f>
        <v>0</v>
      </c>
    </row>
    <row r="10" spans="1:13">
      <c r="A10" s="8" t="s">
        <v>12</v>
      </c>
      <c r="B10" s="9">
        <f t="shared" si="0"/>
        <v>10542.492359999997</v>
      </c>
      <c r="C10" s="9">
        <f t="shared" ref="C10:C14" si="1">M43</f>
        <v>0</v>
      </c>
      <c r="D10" s="9">
        <f t="shared" ref="D10:D14" si="2">O55</f>
        <v>0</v>
      </c>
      <c r="E10" s="9">
        <f t="shared" ref="E10:E14" si="3">L67</f>
        <v>2319.2756999999997</v>
      </c>
      <c r="F10" s="9">
        <f t="shared" ref="F10:F14" si="4">O79</f>
        <v>0</v>
      </c>
      <c r="H10" s="8" t="s">
        <v>12</v>
      </c>
      <c r="I10" s="53">
        <f>IF(Renda!B21&gt;0,B10/Renda!B21,0)</f>
        <v>7.0355787833434205E-4</v>
      </c>
      <c r="J10" s="53">
        <f>IF(Renda!C21&gt;0,C10/Renda!C21,0)</f>
        <v>0</v>
      </c>
      <c r="K10" s="53">
        <f>IF(Renda!D21&gt;0,D10/Renda!D21,0)</f>
        <v>0</v>
      </c>
      <c r="L10" s="53">
        <f>IF(Renda!E21&gt;0,E10/Renda!E21,0)</f>
        <v>1.5546598099040458E-4</v>
      </c>
      <c r="M10" s="53">
        <f>IF(Renda!F21&gt;0,F10/Renda!F21,0)</f>
        <v>0</v>
      </c>
    </row>
    <row r="11" spans="1:13">
      <c r="A11" s="8" t="s">
        <v>13</v>
      </c>
      <c r="B11" s="9">
        <f t="shared" si="0"/>
        <v>943.20237600000019</v>
      </c>
      <c r="C11" s="9">
        <f t="shared" si="1"/>
        <v>0</v>
      </c>
      <c r="D11" s="9">
        <f t="shared" si="2"/>
        <v>0</v>
      </c>
      <c r="E11" s="9">
        <f t="shared" si="3"/>
        <v>18554.205599999998</v>
      </c>
      <c r="F11" s="9">
        <f t="shared" si="4"/>
        <v>0</v>
      </c>
      <c r="H11" s="8" t="s">
        <v>13</v>
      </c>
      <c r="I11" s="53">
        <f>IF(Renda!B22&gt;0,B11/Renda!B22,0)</f>
        <v>0</v>
      </c>
      <c r="J11" s="53">
        <f>IF(Renda!C22&gt;0,C11/Renda!C22,0)</f>
        <v>0</v>
      </c>
      <c r="K11" s="53">
        <f>IF(Renda!D22&gt;0,D11/Renda!D22,0)</f>
        <v>0</v>
      </c>
      <c r="L11" s="53">
        <f>IF(Renda!E22&gt;0,E11/Renda!E22,0)</f>
        <v>7.8675650751629928E-4</v>
      </c>
      <c r="M11" s="53">
        <f>IF(Renda!F22&gt;0,F11/Renda!F22,0)</f>
        <v>0</v>
      </c>
    </row>
    <row r="12" spans="1:13">
      <c r="A12" s="8" t="s">
        <v>14</v>
      </c>
      <c r="B12" s="9">
        <f t="shared" si="0"/>
        <v>4405153.4122319994</v>
      </c>
      <c r="C12" s="9">
        <f t="shared" si="1"/>
        <v>0</v>
      </c>
      <c r="D12" s="9">
        <f t="shared" si="2"/>
        <v>3928690.8529199995</v>
      </c>
      <c r="E12" s="9">
        <f t="shared" si="3"/>
        <v>32469.859799999995</v>
      </c>
      <c r="F12" s="9">
        <f t="shared" si="4"/>
        <v>10928511.470291326</v>
      </c>
      <c r="H12" s="8" t="s">
        <v>14</v>
      </c>
      <c r="I12" s="53">
        <f>IF(Renda!B23&gt;0,B12/Renda!B23,0)</f>
        <v>5.1823078177022246E-2</v>
      </c>
      <c r="J12" s="53">
        <f>IF(Renda!C23&gt;0,C12/Renda!C23,0)</f>
        <v>0</v>
      </c>
      <c r="K12" s="53">
        <f>IF(Renda!D23&gt;0,D12/Renda!D23,0)</f>
        <v>6.4096396025815395E-4</v>
      </c>
      <c r="L12" s="53">
        <f>IF(Renda!E23&gt;0,E12/Renda!E23,0)</f>
        <v>3.8844572537272799E-4</v>
      </c>
      <c r="M12" s="53">
        <f>IF(Renda!F23&gt;0,F12/Renda!F23,0)</f>
        <v>3.7763122795471346E-3</v>
      </c>
    </row>
    <row r="13" spans="1:13">
      <c r="A13" s="8" t="s">
        <v>15</v>
      </c>
      <c r="B13" s="9">
        <f t="shared" si="0"/>
        <v>49318.361423999988</v>
      </c>
      <c r="C13" s="9">
        <f t="shared" si="1"/>
        <v>172741.84078079998</v>
      </c>
      <c r="D13" s="9">
        <f t="shared" si="2"/>
        <v>32.376060000000003</v>
      </c>
      <c r="E13" s="9">
        <f t="shared" si="3"/>
        <v>9277.1027999999988</v>
      </c>
      <c r="F13" s="9">
        <f t="shared" si="4"/>
        <v>0</v>
      </c>
      <c r="H13" s="8" t="s">
        <v>15</v>
      </c>
      <c r="I13" s="53">
        <f>IF(Renda!B24&gt;0,B13/Renda!B24,0)</f>
        <v>2.2235255677732591E-2</v>
      </c>
      <c r="J13" s="53">
        <f>IF(Renda!C24&gt;0,C13/Renda!C24,0)</f>
        <v>0.12650905032998769</v>
      </c>
      <c r="K13" s="53">
        <f>IF(Renda!D24&gt;0,D13/Renda!D24,0)</f>
        <v>3.8048863186151046E-8</v>
      </c>
      <c r="L13" s="53">
        <f>IF(Renda!E24&gt;0,E13/Renda!E24,0)</f>
        <v>6.4345565884519116E-5</v>
      </c>
      <c r="M13" s="53">
        <f>IF(Renda!F24&gt;0,F13/Renda!F24,0)</f>
        <v>0</v>
      </c>
    </row>
    <row r="14" spans="1:13">
      <c r="A14" s="8" t="s">
        <v>16</v>
      </c>
      <c r="B14" s="9">
        <f t="shared" si="0"/>
        <v>1877797.25874</v>
      </c>
      <c r="C14" s="9">
        <f t="shared" si="1"/>
        <v>0</v>
      </c>
      <c r="D14" s="9">
        <f t="shared" si="2"/>
        <v>4063.3468199999998</v>
      </c>
      <c r="E14" s="9">
        <f t="shared" si="3"/>
        <v>9277.1027999999988</v>
      </c>
      <c r="F14" s="9">
        <f t="shared" si="4"/>
        <v>0</v>
      </c>
      <c r="H14" s="8" t="s">
        <v>16</v>
      </c>
      <c r="I14" s="53">
        <f>IF(Renda!B25&gt;0,B14/Renda!B25,0)</f>
        <v>3.8093372944997206E-2</v>
      </c>
      <c r="J14" s="53">
        <f>IF(Renda!C25&gt;0,C14/Renda!C25,0)</f>
        <v>0</v>
      </c>
      <c r="K14" s="53">
        <f>IF(Renda!D25&gt;0,D14/Renda!D25,0)</f>
        <v>8.6184897673411747E-7</v>
      </c>
      <c r="L14" s="53">
        <f>IF(Renda!E25&gt;0,E14/Renda!E25,0)</f>
        <v>5.888790101924022E-4</v>
      </c>
      <c r="M14" s="53">
        <f>IF(Renda!F25&gt;0,F14/Renda!F25,0)</f>
        <v>0</v>
      </c>
    </row>
    <row r="15" spans="1:13" ht="12.75" thickBot="1">
      <c r="A15" s="36" t="s">
        <v>17</v>
      </c>
      <c r="B15" s="37">
        <f>SUM(B9:B14)</f>
        <v>6343840.3572719991</v>
      </c>
      <c r="C15" s="37">
        <f t="shared" ref="C15:E15" si="5">SUM(C9:C14)</f>
        <v>172741.84078079998</v>
      </c>
      <c r="D15" s="37">
        <f t="shared" si="5"/>
        <v>3932850.7227599998</v>
      </c>
      <c r="E15" s="37">
        <f t="shared" si="5"/>
        <v>74216.82239999999</v>
      </c>
      <c r="F15" s="37">
        <f>SUM(F9:F14)</f>
        <v>10928511.470291326</v>
      </c>
      <c r="H15" s="36" t="s">
        <v>17</v>
      </c>
      <c r="I15" s="54">
        <f>IF(B15&gt;0,B15/Renda!B26,0)</f>
        <v>4.1448152229344427E-2</v>
      </c>
      <c r="J15" s="54">
        <f>IF(C15&gt;0,C15/Renda!C26,0)</f>
        <v>0.11428483945033527</v>
      </c>
      <c r="K15" s="54">
        <f>IF(D15&gt;0,D15/Renda!D26,0)</f>
        <v>2.9378181811146341E-4</v>
      </c>
      <c r="L15" s="54">
        <f>IF(E15&gt;0,E15/Renda!E26,0)</f>
        <v>2.5007022378587223E-4</v>
      </c>
      <c r="M15" s="54">
        <f>IF(F15&gt;0,F15/Renda!F26,0)</f>
        <v>3.7763122795471346E-3</v>
      </c>
    </row>
    <row r="16" spans="1:13">
      <c r="A16" s="43"/>
      <c r="B16" s="73"/>
      <c r="C16" s="73"/>
      <c r="D16" s="73"/>
      <c r="E16" s="73"/>
      <c r="F16" s="73"/>
      <c r="H16" s="43"/>
      <c r="I16" s="74"/>
      <c r="J16" s="74"/>
      <c r="K16" s="74"/>
      <c r="L16" s="74"/>
      <c r="M16" s="74"/>
    </row>
    <row r="17" spans="1:17">
      <c r="A17" s="43"/>
      <c r="B17" s="73"/>
      <c r="C17" s="73"/>
      <c r="D17" s="73"/>
      <c r="E17" s="73"/>
      <c r="F17" s="73"/>
      <c r="H17" s="43"/>
      <c r="I17" s="74"/>
      <c r="J17" s="74"/>
      <c r="K17" s="74"/>
      <c r="L17" s="74"/>
      <c r="M17" s="74"/>
    </row>
    <row r="18" spans="1:17">
      <c r="A18" s="43" t="s">
        <v>49</v>
      </c>
      <c r="B18" s="73"/>
      <c r="C18" s="73"/>
      <c r="D18" s="73"/>
      <c r="E18" s="73"/>
      <c r="F18" s="73"/>
      <c r="H18" s="43"/>
      <c r="I18" s="74"/>
      <c r="J18" s="74"/>
      <c r="K18" s="74"/>
      <c r="L18" s="74"/>
      <c r="M18" s="74"/>
    </row>
    <row r="19" spans="1:17">
      <c r="A19" s="43"/>
      <c r="B19" s="73"/>
      <c r="C19" s="73"/>
      <c r="D19" s="73"/>
      <c r="E19" s="73"/>
      <c r="F19" s="73"/>
      <c r="H19" s="43"/>
      <c r="I19" s="74"/>
      <c r="J19" s="74"/>
      <c r="K19" s="74"/>
      <c r="L19" s="74"/>
      <c r="M19" s="74"/>
    </row>
    <row r="20" spans="1:17">
      <c r="A20" s="43"/>
      <c r="B20" s="73"/>
      <c r="C20" s="73"/>
      <c r="D20" s="73"/>
      <c r="E20" s="73"/>
      <c r="F20" s="73"/>
      <c r="H20" s="43"/>
      <c r="I20" s="74"/>
      <c r="J20" s="74"/>
      <c r="K20" s="74"/>
      <c r="L20" s="74"/>
      <c r="M20" s="74"/>
    </row>
    <row r="24" spans="1:17" ht="12.75" thickBot="1">
      <c r="A24" s="46"/>
      <c r="B24" s="10"/>
      <c r="C24" s="10"/>
      <c r="D24" s="10"/>
      <c r="E24" s="10"/>
      <c r="F24" s="10"/>
      <c r="G24" s="10"/>
      <c r="H24" s="10"/>
      <c r="I24" s="41"/>
      <c r="J24" s="41"/>
      <c r="K24" s="10"/>
      <c r="L24" s="10"/>
      <c r="M24" s="10"/>
      <c r="N24" s="10"/>
      <c r="O24" s="10"/>
      <c r="P24" s="10"/>
      <c r="Q24" s="10"/>
    </row>
    <row r="25" spans="1:17" ht="15.75" customHeight="1" thickBot="1">
      <c r="A25" s="157" t="s">
        <v>42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</row>
    <row r="26" spans="1:17" ht="36.75" customHeight="1" thickBot="1">
      <c r="A26" s="158" t="s">
        <v>36</v>
      </c>
      <c r="B26" s="160" t="s">
        <v>37</v>
      </c>
      <c r="C26" s="160"/>
      <c r="D26" s="160"/>
      <c r="E26" s="160"/>
      <c r="F26" s="160"/>
      <c r="G26" s="161" t="s">
        <v>86</v>
      </c>
      <c r="H26" s="161"/>
      <c r="I26" s="161"/>
      <c r="J26" s="161"/>
      <c r="K26" s="162" t="s">
        <v>88</v>
      </c>
      <c r="L26" s="162"/>
      <c r="M26" s="83" t="s">
        <v>91</v>
      </c>
      <c r="N26" s="163" t="s">
        <v>82</v>
      </c>
      <c r="O26" s="163"/>
      <c r="P26" s="163"/>
      <c r="Q26" s="163"/>
    </row>
    <row r="27" spans="1:17" ht="24.75" thickBot="1">
      <c r="A27" s="159"/>
      <c r="B27" s="44" t="s">
        <v>38</v>
      </c>
      <c r="C27" s="44" t="s">
        <v>87</v>
      </c>
      <c r="D27" s="44" t="s">
        <v>89</v>
      </c>
      <c r="E27" s="44" t="s">
        <v>90</v>
      </c>
      <c r="F27" s="44" t="s">
        <v>97</v>
      </c>
      <c r="G27" s="80" t="s">
        <v>99</v>
      </c>
      <c r="H27" s="80" t="s">
        <v>94</v>
      </c>
      <c r="I27" s="80" t="s">
        <v>95</v>
      </c>
      <c r="J27" s="80" t="s">
        <v>98</v>
      </c>
      <c r="K27" s="91" t="s">
        <v>96</v>
      </c>
      <c r="L27" s="91" t="s">
        <v>98</v>
      </c>
      <c r="M27" s="84" t="s">
        <v>92</v>
      </c>
      <c r="N27" s="88" t="s">
        <v>83</v>
      </c>
      <c r="O27" s="88" t="s">
        <v>84</v>
      </c>
      <c r="P27" s="88" t="s">
        <v>85</v>
      </c>
      <c r="Q27" s="88" t="s">
        <v>93</v>
      </c>
    </row>
    <row r="28" spans="1:17">
      <c r="A28" s="8" t="s">
        <v>11</v>
      </c>
      <c r="B28" s="50">
        <f>IF(B$3='Base Cenários'!A$3,'Base Cenários'!B7,(IF(B$3='Base Cenários'!A$14,'Base Cenários'!B18,'Base Cenários'!B29)))</f>
        <v>0</v>
      </c>
      <c r="C28" s="45">
        <f>B28*24*60*60*365</f>
        <v>0</v>
      </c>
      <c r="D28" s="76">
        <v>1</v>
      </c>
      <c r="E28" s="78">
        <v>1</v>
      </c>
      <c r="F28" s="92">
        <f>C$4</f>
        <v>8.405E-2</v>
      </c>
      <c r="G28" s="81">
        <v>0.5</v>
      </c>
      <c r="H28" s="81">
        <f t="shared" ref="H28:H33" si="6">C28</f>
        <v>0</v>
      </c>
      <c r="I28" s="81">
        <v>0</v>
      </c>
      <c r="J28" s="95">
        <f>C$4</f>
        <v>8.405E-2</v>
      </c>
      <c r="K28" s="47">
        <f>IF(B$3='Base Cenários'!A$3,'Base Cenários'!I7,(IF(B$3='Base Cenários'!A$14,'Base Cenários'!I18,'Base Cenários'!I29)))</f>
        <v>1018.8000000000001</v>
      </c>
      <c r="L28" s="47">
        <f>C$4</f>
        <v>8.405E-2</v>
      </c>
      <c r="M28" s="85">
        <v>1</v>
      </c>
      <c r="N28" s="89">
        <f>C28*D28*E28*F28</f>
        <v>0</v>
      </c>
      <c r="O28" s="89">
        <f>IF(H28&gt;0,(H28-I28)*J28*(C28/H28)*G28,0)</f>
        <v>0</v>
      </c>
      <c r="P28" s="89">
        <f>K28*L28</f>
        <v>85.630140000000011</v>
      </c>
      <c r="Q28" s="89">
        <f>(N28+O28+P28)*M28</f>
        <v>85.630140000000011</v>
      </c>
    </row>
    <row r="29" spans="1:17">
      <c r="A29" s="8" t="s">
        <v>12</v>
      </c>
      <c r="B29" s="50">
        <f>IF(B$3='Base Cenários'!A$3,'Base Cenários'!B8,(IF(B$3='Base Cenários'!A$14,'Base Cenários'!B19,'Base Cenários'!B30)))</f>
        <v>2.5000000000000001E-3</v>
      </c>
      <c r="C29" s="45">
        <f t="shared" ref="C29:C33" si="7">B29*24*60*60*365</f>
        <v>78839.999999999985</v>
      </c>
      <c r="D29" s="76">
        <v>1</v>
      </c>
      <c r="E29" s="78">
        <v>1</v>
      </c>
      <c r="F29" s="92">
        <f t="shared" ref="F29:F33" si="8">C$4</f>
        <v>8.405E-2</v>
      </c>
      <c r="G29" s="81">
        <v>0.5</v>
      </c>
      <c r="H29" s="81">
        <f t="shared" si="6"/>
        <v>78839.999999999985</v>
      </c>
      <c r="I29" s="81">
        <v>0</v>
      </c>
      <c r="J29" s="95">
        <f t="shared" ref="J29:J33" si="9">C$4</f>
        <v>8.405E-2</v>
      </c>
      <c r="K29" s="47">
        <f>IF(B$3='Base Cenários'!A$3,'Base Cenários'!I8,(IF(B$3='Base Cenários'!A$14,'Base Cenários'!I19,'Base Cenários'!I30)))</f>
        <v>7171.2000000000007</v>
      </c>
      <c r="L29" s="47">
        <f t="shared" ref="L29:L33" si="10">C$4</f>
        <v>8.405E-2</v>
      </c>
      <c r="M29" s="85">
        <v>1</v>
      </c>
      <c r="N29" s="89">
        <f>C29*D29*E29*F29</f>
        <v>6626.5019999999986</v>
      </c>
      <c r="O29" s="89">
        <f t="shared" ref="O29:O33" si="11">IF(H29&gt;0,(H29-I29)*J29*(C29/H29)*G29,0)</f>
        <v>3313.2509999999993</v>
      </c>
      <c r="P29" s="89">
        <f t="shared" ref="P29:P33" si="12">K29*L29</f>
        <v>602.73936000000003</v>
      </c>
      <c r="Q29" s="89">
        <f t="shared" ref="Q29:Q33" si="13">(N29+O29+P29)*M29</f>
        <v>10542.492359999997</v>
      </c>
    </row>
    <row r="30" spans="1:17">
      <c r="A30" s="8" t="s">
        <v>13</v>
      </c>
      <c r="B30" s="50">
        <f>IF(B$3='Base Cenários'!A$3,'Base Cenários'!B9,(IF(B$3='Base Cenários'!A$14,'Base Cenários'!B20,'Base Cenários'!B31)))</f>
        <v>2.0000000000000001E-4</v>
      </c>
      <c r="C30" s="45">
        <f t="shared" si="7"/>
        <v>6307.2000000000007</v>
      </c>
      <c r="D30" s="76">
        <v>1</v>
      </c>
      <c r="E30" s="78">
        <v>0.85</v>
      </c>
      <c r="F30" s="92">
        <f t="shared" si="8"/>
        <v>8.405E-2</v>
      </c>
      <c r="G30" s="81">
        <v>0.5</v>
      </c>
      <c r="H30" s="81">
        <f t="shared" si="6"/>
        <v>6307.2000000000007</v>
      </c>
      <c r="I30" s="81">
        <v>0</v>
      </c>
      <c r="J30" s="95">
        <f t="shared" si="9"/>
        <v>8.405E-2</v>
      </c>
      <c r="K30" s="47">
        <f>IF(B$3='Base Cenários'!A$3,'Base Cenários'!I9,(IF(B$3='Base Cenários'!A$14,'Base Cenários'!I20,'Base Cenários'!I31)))</f>
        <v>2707.2</v>
      </c>
      <c r="L30" s="47">
        <f t="shared" si="10"/>
        <v>8.405E-2</v>
      </c>
      <c r="M30" s="85">
        <v>1</v>
      </c>
      <c r="N30" s="89">
        <f t="shared" ref="N30:N33" si="14">C30*D30*E30*F30</f>
        <v>450.60213600000009</v>
      </c>
      <c r="O30" s="89">
        <f t="shared" si="11"/>
        <v>265.06008000000003</v>
      </c>
      <c r="P30" s="89">
        <f t="shared" si="12"/>
        <v>227.54015999999999</v>
      </c>
      <c r="Q30" s="89">
        <f t="shared" si="13"/>
        <v>943.20237600000019</v>
      </c>
    </row>
    <row r="31" spans="1:17">
      <c r="A31" s="8" t="s">
        <v>14</v>
      </c>
      <c r="B31" s="50">
        <f>IF(B$3='Base Cenários'!A$3,'Base Cenários'!B10,(IF(B$3='Base Cenários'!A$14,'Base Cenários'!B21,'Base Cenários'!B32)))</f>
        <v>1.1142000000000001</v>
      </c>
      <c r="C31" s="45">
        <f t="shared" si="7"/>
        <v>35137411.200000003</v>
      </c>
      <c r="D31" s="76">
        <v>1</v>
      </c>
      <c r="E31" s="78">
        <v>0.95</v>
      </c>
      <c r="F31" s="92">
        <f t="shared" si="8"/>
        <v>8.405E-2</v>
      </c>
      <c r="G31" s="81">
        <v>0.5</v>
      </c>
      <c r="H31" s="81">
        <f t="shared" si="6"/>
        <v>35137411.200000003</v>
      </c>
      <c r="I31" s="81">
        <v>0</v>
      </c>
      <c r="J31" s="95">
        <f t="shared" si="9"/>
        <v>8.405E-2</v>
      </c>
      <c r="K31" s="47">
        <f>IF(B$3='Base Cenários'!A$3,'Base Cenários'!I10,(IF(B$3='Base Cenários'!A$14,'Base Cenários'!I21,'Base Cenários'!I32)))</f>
        <v>1461859.2</v>
      </c>
      <c r="L31" s="47">
        <f t="shared" si="10"/>
        <v>8.405E-2</v>
      </c>
      <c r="M31" s="85">
        <v>1</v>
      </c>
      <c r="N31" s="89">
        <f t="shared" si="14"/>
        <v>2805634.4407919999</v>
      </c>
      <c r="O31" s="89">
        <f t="shared" si="11"/>
        <v>1476649.7056800001</v>
      </c>
      <c r="P31" s="89">
        <f t="shared" si="12"/>
        <v>122869.26575999999</v>
      </c>
      <c r="Q31" s="89">
        <f t="shared" si="13"/>
        <v>4405153.4122319994</v>
      </c>
    </row>
    <row r="32" spans="1:17">
      <c r="A32" s="8" t="s">
        <v>15</v>
      </c>
      <c r="B32" s="50">
        <f>IF(B$3='Base Cenários'!A$3,'Base Cenários'!B11,(IF(B$3='Base Cenários'!A$14,'Base Cenários'!B22,'Base Cenários'!B33)))</f>
        <v>1.2699999999999999E-2</v>
      </c>
      <c r="C32" s="45">
        <f t="shared" si="7"/>
        <v>400507.1999999999</v>
      </c>
      <c r="D32" s="76">
        <v>1</v>
      </c>
      <c r="E32" s="78">
        <v>0.9</v>
      </c>
      <c r="F32" s="92">
        <f t="shared" si="8"/>
        <v>8.405E-2</v>
      </c>
      <c r="G32" s="81">
        <v>0.5</v>
      </c>
      <c r="H32" s="81">
        <f t="shared" si="6"/>
        <v>400507.1999999999</v>
      </c>
      <c r="I32" s="81">
        <v>0</v>
      </c>
      <c r="J32" s="95">
        <f t="shared" si="9"/>
        <v>8.405E-2</v>
      </c>
      <c r="K32" s="47">
        <f>IF(B$3='Base Cenários'!A$3,'Base Cenários'!I11,(IF(B$3='Base Cenários'!A$14,'Base Cenários'!I22,'Base Cenários'!I33)))</f>
        <v>26064.000000000004</v>
      </c>
      <c r="L32" s="47">
        <f t="shared" si="10"/>
        <v>8.405E-2</v>
      </c>
      <c r="M32" s="85">
        <v>1</v>
      </c>
      <c r="N32" s="89">
        <f t="shared" si="14"/>
        <v>30296.367143999993</v>
      </c>
      <c r="O32" s="89">
        <f t="shared" si="11"/>
        <v>16831.315079999997</v>
      </c>
      <c r="P32" s="89">
        <f t="shared" si="12"/>
        <v>2190.6792000000005</v>
      </c>
      <c r="Q32" s="89">
        <f t="shared" si="13"/>
        <v>49318.361423999988</v>
      </c>
    </row>
    <row r="33" spans="1:17" ht="12.75" thickBot="1">
      <c r="A33" s="10" t="s">
        <v>16</v>
      </c>
      <c r="B33" s="51">
        <f>IF(B$3='Base Cenários'!A$3,'Base Cenários'!B12,(IF(B$3='Base Cenários'!A$14,'Base Cenários'!B23,'Base Cenários'!B34)))</f>
        <v>0.46760000000000002</v>
      </c>
      <c r="C33" s="51">
        <f t="shared" si="7"/>
        <v>14746233.6</v>
      </c>
      <c r="D33" s="77">
        <v>1</v>
      </c>
      <c r="E33" s="79">
        <v>1</v>
      </c>
      <c r="F33" s="93">
        <f t="shared" si="8"/>
        <v>8.405E-2</v>
      </c>
      <c r="G33" s="82">
        <v>0.5</v>
      </c>
      <c r="H33" s="82">
        <f t="shared" si="6"/>
        <v>14746233.6</v>
      </c>
      <c r="I33" s="82">
        <v>0</v>
      </c>
      <c r="J33" s="96">
        <f t="shared" si="9"/>
        <v>8.405E-2</v>
      </c>
      <c r="K33" s="48">
        <f>IF(B$3='Base Cenários'!A$3,'Base Cenários'!I12,(IF(B$3='Base Cenários'!A$14,'Base Cenários'!I23,'Base Cenários'!I34)))</f>
        <v>222080.4</v>
      </c>
      <c r="L33" s="48">
        <f t="shared" si="10"/>
        <v>8.405E-2</v>
      </c>
      <c r="M33" s="86">
        <v>1</v>
      </c>
      <c r="N33" s="90">
        <f t="shared" si="14"/>
        <v>1239420.93408</v>
      </c>
      <c r="O33" s="90">
        <f t="shared" si="11"/>
        <v>619710.46704000002</v>
      </c>
      <c r="P33" s="90">
        <f t="shared" si="12"/>
        <v>18665.857619999999</v>
      </c>
      <c r="Q33" s="90">
        <f t="shared" si="13"/>
        <v>1877797.25874</v>
      </c>
    </row>
    <row r="34" spans="1:17" ht="12.75" thickBot="1">
      <c r="I34" s="8"/>
      <c r="M34" s="42"/>
      <c r="P34" s="46" t="s">
        <v>40</v>
      </c>
      <c r="Q34" s="94">
        <f>SUM(Q28:Q33)</f>
        <v>6343840.3572719991</v>
      </c>
    </row>
    <row r="35" spans="1:17">
      <c r="I35" s="8"/>
      <c r="M35" s="42"/>
      <c r="P35" s="43"/>
      <c r="Q35" s="73"/>
    </row>
    <row r="36" spans="1:17">
      <c r="I36" s="8"/>
      <c r="M36" s="42"/>
      <c r="P36" s="43"/>
      <c r="Q36" s="73"/>
    </row>
    <row r="37" spans="1:17">
      <c r="I37" s="8"/>
      <c r="M37" s="42"/>
      <c r="P37" s="43"/>
      <c r="Q37" s="73"/>
    </row>
    <row r="38" spans="1:17" ht="12.75" thickBot="1">
      <c r="A38" s="10"/>
      <c r="B38" s="10"/>
      <c r="C38" s="10"/>
      <c r="D38" s="10"/>
      <c r="E38" s="10"/>
      <c r="F38" s="10"/>
      <c r="G38" s="10"/>
      <c r="H38" s="10"/>
      <c r="I38" s="10"/>
      <c r="J38" s="41"/>
      <c r="K38" s="10"/>
      <c r="L38" s="10"/>
      <c r="M38" s="41"/>
    </row>
    <row r="39" spans="1:17" ht="15.75" customHeight="1" thickBot="1">
      <c r="A39" s="157" t="s">
        <v>43</v>
      </c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</row>
    <row r="40" spans="1:17" ht="15.75" customHeight="1" thickBot="1">
      <c r="A40" s="158" t="s">
        <v>36</v>
      </c>
      <c r="B40" s="160" t="s">
        <v>37</v>
      </c>
      <c r="C40" s="160"/>
      <c r="D40" s="160"/>
      <c r="E40" s="160"/>
      <c r="F40" s="161" t="s">
        <v>86</v>
      </c>
      <c r="G40" s="161"/>
      <c r="H40" s="161"/>
      <c r="I40" s="83" t="s">
        <v>91</v>
      </c>
      <c r="J40" s="97" t="s">
        <v>101</v>
      </c>
      <c r="K40" s="163" t="s">
        <v>82</v>
      </c>
      <c r="L40" s="163"/>
      <c r="M40" s="163"/>
    </row>
    <row r="41" spans="1:17" ht="12.75" thickBot="1">
      <c r="A41" s="159"/>
      <c r="B41" s="44" t="s">
        <v>38</v>
      </c>
      <c r="C41" s="44" t="s">
        <v>87</v>
      </c>
      <c r="D41" s="44" t="s">
        <v>89</v>
      </c>
      <c r="E41" s="44" t="s">
        <v>97</v>
      </c>
      <c r="F41" s="80" t="s">
        <v>94</v>
      </c>
      <c r="G41" s="80" t="s">
        <v>95</v>
      </c>
      <c r="H41" s="80" t="s">
        <v>98</v>
      </c>
      <c r="I41" s="84" t="s">
        <v>92</v>
      </c>
      <c r="J41" s="87" t="s">
        <v>102</v>
      </c>
      <c r="K41" s="88" t="s">
        <v>83</v>
      </c>
      <c r="L41" s="88" t="s">
        <v>84</v>
      </c>
      <c r="M41" s="88" t="s">
        <v>93</v>
      </c>
    </row>
    <row r="42" spans="1:17">
      <c r="A42" s="8" t="s">
        <v>11</v>
      </c>
      <c r="B42" s="50">
        <f>IF(B$3='Base Cenários'!A$3,'Base Cenários'!C7,(IF(B$3='Base Cenários'!A$14,'Base Cenários'!C18,'Base Cenários'!C29)))</f>
        <v>0</v>
      </c>
      <c r="C42" s="45">
        <f>B42*24*60*60*365</f>
        <v>0</v>
      </c>
      <c r="D42" s="76">
        <v>1</v>
      </c>
      <c r="E42" s="92">
        <f>C$4</f>
        <v>8.405E-2</v>
      </c>
      <c r="F42" s="81">
        <f t="shared" ref="F42:F47" si="15">C42</f>
        <v>0</v>
      </c>
      <c r="G42" s="81">
        <v>0</v>
      </c>
      <c r="H42" s="95">
        <f>C$4</f>
        <v>8.405E-2</v>
      </c>
      <c r="I42" s="85">
        <v>1</v>
      </c>
      <c r="J42" s="98">
        <v>0.1</v>
      </c>
      <c r="K42" s="89">
        <f t="shared" ref="K42:K47" si="16">C42*D42*E42</f>
        <v>0</v>
      </c>
      <c r="L42" s="89">
        <f t="shared" ref="L42:L47" si="17">IF(F42&gt;0,(F42-G42)*H42*(C42/F42),0)</f>
        <v>0</v>
      </c>
      <c r="M42" s="89">
        <f>(K42+L42)*I42*J42</f>
        <v>0</v>
      </c>
    </row>
    <row r="43" spans="1:17">
      <c r="A43" s="8" t="s">
        <v>12</v>
      </c>
      <c r="B43" s="50">
        <f>IF(B$3='Base Cenários'!A$3,'Base Cenários'!C8,(IF(B$3='Base Cenários'!A$14,'Base Cenários'!C19,'Base Cenários'!C30)))</f>
        <v>0</v>
      </c>
      <c r="C43" s="45">
        <f t="shared" ref="C43:C47" si="18">B43*24*60*60*365</f>
        <v>0</v>
      </c>
      <c r="D43" s="76">
        <v>1</v>
      </c>
      <c r="E43" s="92">
        <f t="shared" ref="E43:E47" si="19">C$4</f>
        <v>8.405E-2</v>
      </c>
      <c r="F43" s="81">
        <f t="shared" si="15"/>
        <v>0</v>
      </c>
      <c r="G43" s="81">
        <v>0</v>
      </c>
      <c r="H43" s="95">
        <f t="shared" ref="H43:H47" si="20">C$4</f>
        <v>8.405E-2</v>
      </c>
      <c r="I43" s="85">
        <v>1</v>
      </c>
      <c r="J43" s="98">
        <v>0.1</v>
      </c>
      <c r="K43" s="89">
        <f t="shared" si="16"/>
        <v>0</v>
      </c>
      <c r="L43" s="89">
        <f t="shared" si="17"/>
        <v>0</v>
      </c>
      <c r="M43" s="89">
        <f t="shared" ref="M43:M47" si="21">(K43+L43)*I43*J43</f>
        <v>0</v>
      </c>
    </row>
    <row r="44" spans="1:17">
      <c r="A44" s="8" t="s">
        <v>13</v>
      </c>
      <c r="B44" s="50">
        <f>IF(B$3='Base Cenários'!A$3,'Base Cenários'!C9,(IF(B$3='Base Cenários'!A$14,'Base Cenários'!C20,'Base Cenários'!C31)))</f>
        <v>0</v>
      </c>
      <c r="C44" s="45">
        <f t="shared" si="18"/>
        <v>0</v>
      </c>
      <c r="D44" s="76">
        <v>1</v>
      </c>
      <c r="E44" s="92">
        <f t="shared" si="19"/>
        <v>8.405E-2</v>
      </c>
      <c r="F44" s="81">
        <f t="shared" si="15"/>
        <v>0</v>
      </c>
      <c r="G44" s="81">
        <v>0</v>
      </c>
      <c r="H44" s="95">
        <f t="shared" si="20"/>
        <v>8.405E-2</v>
      </c>
      <c r="I44" s="85">
        <v>1</v>
      </c>
      <c r="J44" s="98">
        <v>0.1</v>
      </c>
      <c r="K44" s="89">
        <f t="shared" si="16"/>
        <v>0</v>
      </c>
      <c r="L44" s="89">
        <f t="shared" si="17"/>
        <v>0</v>
      </c>
      <c r="M44" s="89">
        <f t="shared" si="21"/>
        <v>0</v>
      </c>
    </row>
    <row r="45" spans="1:17">
      <c r="A45" s="8" t="s">
        <v>14</v>
      </c>
      <c r="B45" s="50">
        <f>IF(B$3='Base Cenários'!A$3,'Base Cenários'!C10,(IF(B$3='Base Cenários'!A$14,'Base Cenários'!C21,'Base Cenários'!C32)))</f>
        <v>0</v>
      </c>
      <c r="C45" s="45">
        <f t="shared" si="18"/>
        <v>0</v>
      </c>
      <c r="D45" s="76">
        <v>1</v>
      </c>
      <c r="E45" s="92">
        <f t="shared" si="19"/>
        <v>8.405E-2</v>
      </c>
      <c r="F45" s="81">
        <f t="shared" si="15"/>
        <v>0</v>
      </c>
      <c r="G45" s="81">
        <v>0</v>
      </c>
      <c r="H45" s="95">
        <f t="shared" si="20"/>
        <v>8.405E-2</v>
      </c>
      <c r="I45" s="85">
        <v>1</v>
      </c>
      <c r="J45" s="98">
        <v>0.1</v>
      </c>
      <c r="K45" s="89">
        <f t="shared" si="16"/>
        <v>0</v>
      </c>
      <c r="L45" s="89">
        <f t="shared" si="17"/>
        <v>0</v>
      </c>
      <c r="M45" s="89">
        <f t="shared" si="21"/>
        <v>0</v>
      </c>
    </row>
    <row r="46" spans="1:17">
      <c r="A46" s="8" t="s">
        <v>15</v>
      </c>
      <c r="B46" s="50">
        <f>IF(B$3='Base Cenários'!A$3,'Base Cenários'!C11,(IF(B$3='Base Cenários'!A$14,'Base Cenários'!C22,'Base Cenários'!C33)))</f>
        <v>0.32585412480974124</v>
      </c>
      <c r="C46" s="45">
        <f t="shared" si="18"/>
        <v>10276135.679999998</v>
      </c>
      <c r="D46" s="76">
        <v>1</v>
      </c>
      <c r="E46" s="92">
        <f t="shared" si="19"/>
        <v>8.405E-2</v>
      </c>
      <c r="F46" s="81">
        <f t="shared" si="15"/>
        <v>10276135.679999998</v>
      </c>
      <c r="G46" s="81">
        <v>0</v>
      </c>
      <c r="H46" s="95">
        <f t="shared" si="20"/>
        <v>8.405E-2</v>
      </c>
      <c r="I46" s="85">
        <v>1</v>
      </c>
      <c r="J46" s="98">
        <v>0.1</v>
      </c>
      <c r="K46" s="89">
        <f t="shared" si="16"/>
        <v>863709.20390399976</v>
      </c>
      <c r="L46" s="89">
        <f t="shared" si="17"/>
        <v>863709.20390399976</v>
      </c>
      <c r="M46" s="89">
        <f t="shared" si="21"/>
        <v>172741.84078079998</v>
      </c>
    </row>
    <row r="47" spans="1:17" ht="12.75" thickBot="1">
      <c r="A47" s="10" t="s">
        <v>16</v>
      </c>
      <c r="B47" s="51">
        <f>IF(B$3='Base Cenários'!A$3,'Base Cenários'!C12,(IF(B$3='Base Cenários'!A$14,'Base Cenários'!C23,'Base Cenários'!C34)))</f>
        <v>0</v>
      </c>
      <c r="C47" s="51">
        <f t="shared" si="18"/>
        <v>0</v>
      </c>
      <c r="D47" s="77">
        <v>1</v>
      </c>
      <c r="E47" s="93">
        <f t="shared" si="19"/>
        <v>8.405E-2</v>
      </c>
      <c r="F47" s="82">
        <f t="shared" si="15"/>
        <v>0</v>
      </c>
      <c r="G47" s="82">
        <v>0</v>
      </c>
      <c r="H47" s="96">
        <f t="shared" si="20"/>
        <v>8.405E-2</v>
      </c>
      <c r="I47" s="86">
        <v>1</v>
      </c>
      <c r="J47" s="99">
        <v>0.1</v>
      </c>
      <c r="K47" s="90">
        <f t="shared" si="16"/>
        <v>0</v>
      </c>
      <c r="L47" s="90">
        <f t="shared" si="17"/>
        <v>0</v>
      </c>
      <c r="M47" s="90">
        <f t="shared" si="21"/>
        <v>0</v>
      </c>
    </row>
    <row r="48" spans="1:17" ht="12.75" thickBot="1">
      <c r="L48" s="46" t="s">
        <v>40</v>
      </c>
      <c r="M48" s="94">
        <f>SUM(M42:M47)</f>
        <v>172741.84078079998</v>
      </c>
    </row>
    <row r="50" spans="1:15" ht="12.75" thickBot="1">
      <c r="A50" s="10"/>
      <c r="B50" s="10"/>
      <c r="C50" s="10"/>
      <c r="D50" s="10"/>
      <c r="E50" s="10"/>
      <c r="F50" s="10"/>
      <c r="G50" s="10"/>
      <c r="H50" s="10"/>
      <c r="I50" s="41"/>
      <c r="J50" s="41"/>
      <c r="K50" s="10"/>
      <c r="L50" s="10"/>
      <c r="M50" s="10"/>
      <c r="N50" s="10"/>
      <c r="O50" s="10"/>
    </row>
    <row r="51" spans="1:15" ht="15.75" customHeight="1" thickBot="1">
      <c r="A51" s="165" t="s">
        <v>3</v>
      </c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</row>
    <row r="52" spans="1:15" ht="15.75" customHeight="1" thickBot="1">
      <c r="A52" s="158" t="s">
        <v>36</v>
      </c>
      <c r="B52" s="75" t="s">
        <v>37</v>
      </c>
      <c r="C52" s="75"/>
      <c r="D52" s="75"/>
      <c r="E52" s="75"/>
      <c r="F52" s="164" t="s">
        <v>86</v>
      </c>
      <c r="G52" s="164"/>
      <c r="H52" s="164"/>
      <c r="I52" s="162" t="s">
        <v>88</v>
      </c>
      <c r="J52" s="162"/>
      <c r="K52" s="83" t="s">
        <v>91</v>
      </c>
      <c r="L52" s="163" t="s">
        <v>82</v>
      </c>
      <c r="M52" s="163"/>
      <c r="N52" s="163"/>
      <c r="O52" s="163"/>
    </row>
    <row r="53" spans="1:15" ht="12.75" thickBot="1">
      <c r="A53" s="159"/>
      <c r="B53" s="44" t="s">
        <v>38</v>
      </c>
      <c r="C53" s="44" t="s">
        <v>87</v>
      </c>
      <c r="D53" s="44" t="s">
        <v>89</v>
      </c>
      <c r="E53" s="44" t="s">
        <v>97</v>
      </c>
      <c r="F53" s="80" t="s">
        <v>94</v>
      </c>
      <c r="G53" s="80" t="s">
        <v>95</v>
      </c>
      <c r="H53" s="80" t="s">
        <v>98</v>
      </c>
      <c r="I53" s="91" t="s">
        <v>96</v>
      </c>
      <c r="J53" s="91" t="s">
        <v>98</v>
      </c>
      <c r="K53" s="84" t="s">
        <v>92</v>
      </c>
      <c r="L53" s="88" t="s">
        <v>83</v>
      </c>
      <c r="M53" s="88" t="s">
        <v>84</v>
      </c>
      <c r="N53" s="88" t="s">
        <v>85</v>
      </c>
      <c r="O53" s="88" t="s">
        <v>93</v>
      </c>
    </row>
    <row r="54" spans="1:15">
      <c r="A54" s="8" t="s">
        <v>11</v>
      </c>
      <c r="B54" s="50">
        <f>IF(B$3='Base Cenários'!A$3,'Base Cenários'!D7,(IF(B$3='Base Cenários'!A$14,'Base Cenários'!D18,'Base Cenários'!D29)))</f>
        <v>0</v>
      </c>
      <c r="C54" s="45">
        <f>B54*24*60*60*365</f>
        <v>0</v>
      </c>
      <c r="D54" s="76">
        <v>1</v>
      </c>
      <c r="E54" s="92">
        <f>C$4</f>
        <v>8.405E-2</v>
      </c>
      <c r="F54" s="81">
        <f t="shared" ref="F54:F59" si="22">C54</f>
        <v>0</v>
      </c>
      <c r="G54" s="81">
        <v>0</v>
      </c>
      <c r="H54" s="95">
        <f>C$4</f>
        <v>8.405E-2</v>
      </c>
      <c r="I54" s="47">
        <f>IF(B$3='Base Cenários'!A$3,'Base Cenários'!J7,(IF(B$3='Base Cenários'!A$14,'Base Cenários'!J18,'Base Cenários'!J29)))</f>
        <v>763.2</v>
      </c>
      <c r="J54" s="47">
        <f>C$4</f>
        <v>8.405E-2</v>
      </c>
      <c r="K54" s="85">
        <v>1</v>
      </c>
      <c r="L54" s="89">
        <f>C54*D54*E54</f>
        <v>0</v>
      </c>
      <c r="M54" s="89">
        <f>IF(F54&gt;0,(F54-G54)*H54*(C54/F54),0)</f>
        <v>0</v>
      </c>
      <c r="N54" s="89">
        <f>I54*J54</f>
        <v>64.146960000000007</v>
      </c>
      <c r="O54" s="89">
        <f>(L54+M54+N54)*K54</f>
        <v>64.146960000000007</v>
      </c>
    </row>
    <row r="55" spans="1:15">
      <c r="A55" s="8" t="s">
        <v>12</v>
      </c>
      <c r="B55" s="50">
        <f>IF(B$3='Base Cenários'!A$3,'Base Cenários'!D8,(IF(B$3='Base Cenários'!A$14,'Base Cenários'!D19,'Base Cenários'!D30)))</f>
        <v>0</v>
      </c>
      <c r="C55" s="45">
        <f t="shared" ref="C55:C59" si="23">B55*24*60*60*365</f>
        <v>0</v>
      </c>
      <c r="D55" s="76">
        <v>1</v>
      </c>
      <c r="E55" s="92">
        <f t="shared" ref="E55:E59" si="24">C$4</f>
        <v>8.405E-2</v>
      </c>
      <c r="F55" s="81">
        <f t="shared" si="22"/>
        <v>0</v>
      </c>
      <c r="G55" s="81">
        <v>0</v>
      </c>
      <c r="H55" s="95">
        <f t="shared" ref="H55:H59" si="25">C$4</f>
        <v>8.405E-2</v>
      </c>
      <c r="I55" s="47">
        <f>IF(B$3='Base Cenários'!A$3,'Base Cenários'!J8,(IF(B$3='Base Cenários'!A$14,'Base Cenários'!J19,'Base Cenários'!J30)))</f>
        <v>0</v>
      </c>
      <c r="J55" s="47">
        <f t="shared" ref="J55:J59" si="26">C$4</f>
        <v>8.405E-2</v>
      </c>
      <c r="K55" s="85">
        <v>1</v>
      </c>
      <c r="L55" s="89">
        <f t="shared" ref="L55:L59" si="27">C55*D55*E55</f>
        <v>0</v>
      </c>
      <c r="M55" s="89">
        <f t="shared" ref="M55:M59" si="28">IF(F55&gt;0,(F55-G55)*H55*(C55/F55),0)</f>
        <v>0</v>
      </c>
      <c r="N55" s="89">
        <f t="shared" ref="N55:N59" si="29">I55*J55</f>
        <v>0</v>
      </c>
      <c r="O55" s="89">
        <f t="shared" ref="O55:O59" si="30">(L55+M55+N55)*K55</f>
        <v>0</v>
      </c>
    </row>
    <row r="56" spans="1:15">
      <c r="A56" s="8" t="s">
        <v>13</v>
      </c>
      <c r="B56" s="50">
        <f>IF(B$3='Base Cenários'!A$3,'Base Cenários'!D9,(IF(B$3='Base Cenários'!A$14,'Base Cenários'!D20,'Base Cenários'!D31)))</f>
        <v>0</v>
      </c>
      <c r="C56" s="45">
        <f t="shared" si="23"/>
        <v>0</v>
      </c>
      <c r="D56" s="76">
        <v>1</v>
      </c>
      <c r="E56" s="92">
        <f t="shared" si="24"/>
        <v>8.405E-2</v>
      </c>
      <c r="F56" s="81">
        <f t="shared" si="22"/>
        <v>0</v>
      </c>
      <c r="G56" s="81">
        <v>0</v>
      </c>
      <c r="H56" s="95">
        <f t="shared" si="25"/>
        <v>8.405E-2</v>
      </c>
      <c r="I56" s="47">
        <f>IF(B$3='Base Cenários'!A$3,'Base Cenários'!J9,(IF(B$3='Base Cenários'!A$14,'Base Cenários'!J20,'Base Cenários'!J31)))</f>
        <v>0</v>
      </c>
      <c r="J56" s="47">
        <f t="shared" si="26"/>
        <v>8.405E-2</v>
      </c>
      <c r="K56" s="85">
        <v>1</v>
      </c>
      <c r="L56" s="89">
        <f t="shared" si="27"/>
        <v>0</v>
      </c>
      <c r="M56" s="89">
        <f t="shared" si="28"/>
        <v>0</v>
      </c>
      <c r="N56" s="89">
        <f t="shared" si="29"/>
        <v>0</v>
      </c>
      <c r="O56" s="89">
        <f t="shared" si="30"/>
        <v>0</v>
      </c>
    </row>
    <row r="57" spans="1:15">
      <c r="A57" s="8" t="s">
        <v>14</v>
      </c>
      <c r="B57" s="50">
        <f>IF(B$3='Base Cenários'!A$3,'Base Cenários'!D10,(IF(B$3='Base Cenários'!A$14,'Base Cenários'!D21,'Base Cenários'!D32)))</f>
        <v>0.74039999999999995</v>
      </c>
      <c r="C57" s="45">
        <f t="shared" si="23"/>
        <v>23349254.399999999</v>
      </c>
      <c r="D57" s="76">
        <v>1</v>
      </c>
      <c r="E57" s="92">
        <f t="shared" si="24"/>
        <v>8.405E-2</v>
      </c>
      <c r="F57" s="81">
        <f t="shared" si="22"/>
        <v>23349254.399999999</v>
      </c>
      <c r="G57" s="81">
        <v>0</v>
      </c>
      <c r="H57" s="95">
        <f t="shared" si="25"/>
        <v>8.405E-2</v>
      </c>
      <c r="I57" s="47">
        <f>IF(B$3='Base Cenários'!A$3,'Base Cenários'!J10,(IF(B$3='Base Cenários'!A$14,'Base Cenários'!J21,'Base Cenários'!J32)))</f>
        <v>43797.599999999999</v>
      </c>
      <c r="J57" s="47">
        <f t="shared" si="26"/>
        <v>8.405E-2</v>
      </c>
      <c r="K57" s="85">
        <v>1</v>
      </c>
      <c r="L57" s="89">
        <f t="shared" si="27"/>
        <v>1962504.8323199998</v>
      </c>
      <c r="M57" s="89">
        <f t="shared" si="28"/>
        <v>1962504.8323199998</v>
      </c>
      <c r="N57" s="89">
        <f t="shared" si="29"/>
        <v>3681.1882799999998</v>
      </c>
      <c r="O57" s="89">
        <f t="shared" si="30"/>
        <v>3928690.8529199995</v>
      </c>
    </row>
    <row r="58" spans="1:15">
      <c r="A58" s="8" t="s">
        <v>15</v>
      </c>
      <c r="B58" s="50">
        <f>IF(B$3='Base Cenários'!A$3,'Base Cenários'!D11,(IF(B$3='Base Cenários'!A$14,'Base Cenários'!D22,'Base Cenários'!D33)))</f>
        <v>0</v>
      </c>
      <c r="C58" s="45">
        <f t="shared" si="23"/>
        <v>0</v>
      </c>
      <c r="D58" s="76">
        <v>1</v>
      </c>
      <c r="E58" s="92">
        <f t="shared" si="24"/>
        <v>8.405E-2</v>
      </c>
      <c r="F58" s="81">
        <f t="shared" si="22"/>
        <v>0</v>
      </c>
      <c r="G58" s="81">
        <v>0</v>
      </c>
      <c r="H58" s="95">
        <f t="shared" si="25"/>
        <v>8.405E-2</v>
      </c>
      <c r="I58" s="47">
        <f>IF(B$3='Base Cenários'!A$3,'Base Cenários'!J11,(IF(B$3='Base Cenários'!A$14,'Base Cenários'!J22,'Base Cenários'!J33)))</f>
        <v>385.20000000000005</v>
      </c>
      <c r="J58" s="47">
        <f t="shared" si="26"/>
        <v>8.405E-2</v>
      </c>
      <c r="K58" s="85">
        <v>1</v>
      </c>
      <c r="L58" s="89">
        <f t="shared" si="27"/>
        <v>0</v>
      </c>
      <c r="M58" s="89">
        <f t="shared" si="28"/>
        <v>0</v>
      </c>
      <c r="N58" s="89">
        <f t="shared" si="29"/>
        <v>32.376060000000003</v>
      </c>
      <c r="O58" s="89">
        <f t="shared" si="30"/>
        <v>32.376060000000003</v>
      </c>
    </row>
    <row r="59" spans="1:15" ht="12.75" thickBot="1">
      <c r="A59" s="10" t="s">
        <v>16</v>
      </c>
      <c r="B59" s="51">
        <f>IF(B$3='Base Cenários'!A$3,'Base Cenários'!D12,(IF(B$3='Base Cenários'!A$14,'Base Cenários'!D23,'Base Cenários'!D34)))</f>
        <v>5.9999999999999995E-4</v>
      </c>
      <c r="C59" s="51">
        <f t="shared" si="23"/>
        <v>18921.599999999999</v>
      </c>
      <c r="D59" s="77">
        <v>1</v>
      </c>
      <c r="E59" s="93">
        <f t="shared" si="24"/>
        <v>8.405E-2</v>
      </c>
      <c r="F59" s="82">
        <f t="shared" si="22"/>
        <v>18921.599999999999</v>
      </c>
      <c r="G59" s="82">
        <v>0</v>
      </c>
      <c r="H59" s="96">
        <f t="shared" si="25"/>
        <v>8.405E-2</v>
      </c>
      <c r="I59" s="48">
        <f>IF(B$3='Base Cenários'!A$3,'Base Cenários'!J12,(IF(B$3='Base Cenários'!A$14,'Base Cenários'!J23,'Base Cenários'!J34)))</f>
        <v>10501.2</v>
      </c>
      <c r="J59" s="48">
        <f t="shared" si="26"/>
        <v>8.405E-2</v>
      </c>
      <c r="K59" s="86">
        <v>1</v>
      </c>
      <c r="L59" s="90">
        <f t="shared" si="27"/>
        <v>1590.3604799999998</v>
      </c>
      <c r="M59" s="90">
        <f t="shared" si="28"/>
        <v>1590.3604799999998</v>
      </c>
      <c r="N59" s="90">
        <f t="shared" si="29"/>
        <v>882.6258600000001</v>
      </c>
      <c r="O59" s="90">
        <f t="shared" si="30"/>
        <v>4063.3468199999998</v>
      </c>
    </row>
    <row r="60" spans="1:15" ht="12.75" thickBot="1">
      <c r="N60" s="46" t="s">
        <v>40</v>
      </c>
      <c r="O60" s="94">
        <f>SUM(O54:O59)</f>
        <v>3932850.7227599998</v>
      </c>
    </row>
    <row r="62" spans="1:15" ht="12.75" thickBot="1">
      <c r="A62" s="10"/>
      <c r="B62" s="10"/>
      <c r="C62" s="10"/>
      <c r="D62" s="10"/>
      <c r="E62" s="10"/>
      <c r="F62" s="10"/>
      <c r="G62" s="10"/>
      <c r="H62" s="10"/>
      <c r="I62" s="41"/>
      <c r="J62" s="41"/>
      <c r="K62" s="10"/>
      <c r="L62" s="10"/>
    </row>
    <row r="63" spans="1:15" ht="15.75" customHeight="1" thickBot="1">
      <c r="A63" s="165" t="s">
        <v>4</v>
      </c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</row>
    <row r="64" spans="1:15" ht="15.75" customHeight="1" thickBot="1">
      <c r="A64" s="158" t="s">
        <v>36</v>
      </c>
      <c r="B64" s="160" t="s">
        <v>37</v>
      </c>
      <c r="C64" s="160"/>
      <c r="D64" s="160"/>
      <c r="E64" s="160"/>
      <c r="F64" s="164" t="s">
        <v>86</v>
      </c>
      <c r="G64" s="164"/>
      <c r="H64" s="83" t="s">
        <v>91</v>
      </c>
      <c r="I64" s="97" t="s">
        <v>101</v>
      </c>
      <c r="J64" s="163" t="s">
        <v>82</v>
      </c>
      <c r="K64" s="163"/>
      <c r="L64" s="163"/>
    </row>
    <row r="65" spans="1:15" ht="12.75" thickBot="1">
      <c r="A65" s="159"/>
      <c r="B65" s="44" t="s">
        <v>38</v>
      </c>
      <c r="C65" s="44" t="s">
        <v>87</v>
      </c>
      <c r="D65" s="44" t="s">
        <v>89</v>
      </c>
      <c r="E65" s="44" t="s">
        <v>97</v>
      </c>
      <c r="F65" s="80" t="s">
        <v>99</v>
      </c>
      <c r="G65" s="80" t="s">
        <v>98</v>
      </c>
      <c r="H65" s="84" t="s">
        <v>92</v>
      </c>
      <c r="I65" s="87" t="s">
        <v>102</v>
      </c>
      <c r="J65" s="88" t="s">
        <v>83</v>
      </c>
      <c r="K65" s="88" t="s">
        <v>84</v>
      </c>
      <c r="L65" s="88" t="s">
        <v>93</v>
      </c>
    </row>
    <row r="66" spans="1:15">
      <c r="A66" s="8" t="s">
        <v>11</v>
      </c>
      <c r="B66" s="50">
        <f>IF(B$3='Base Cenários'!A$3,'Base Cenários'!E7,(IF(B$3='Base Cenários'!A$14,'Base Cenários'!E18,'Base Cenários'!E29)))</f>
        <v>1E-3</v>
      </c>
      <c r="C66" s="45">
        <f>B66*24*60*60*365</f>
        <v>31535.999999999996</v>
      </c>
      <c r="D66" s="76">
        <v>1</v>
      </c>
      <c r="E66" s="92">
        <f>C$4</f>
        <v>8.405E-2</v>
      </c>
      <c r="F66" s="81">
        <v>0.75</v>
      </c>
      <c r="G66" s="95">
        <f>C$4</f>
        <v>8.405E-2</v>
      </c>
      <c r="H66" s="85">
        <v>1</v>
      </c>
      <c r="I66" s="98">
        <v>0.5</v>
      </c>
      <c r="J66" s="89">
        <f t="shared" ref="J66:J71" si="31">C66*D66*E66</f>
        <v>2650.6007999999997</v>
      </c>
      <c r="K66" s="89">
        <f>C66*F66*G66</f>
        <v>1987.9505999999997</v>
      </c>
      <c r="L66" s="89">
        <f>(J66+K66)*H66*I66</f>
        <v>2319.2756999999997</v>
      </c>
    </row>
    <row r="67" spans="1:15">
      <c r="A67" s="8" t="s">
        <v>12</v>
      </c>
      <c r="B67" s="50">
        <f>IF(B$3='Base Cenários'!A$3,'Base Cenários'!E8,(IF(B$3='Base Cenários'!A$14,'Base Cenários'!E19,'Base Cenários'!E30)))</f>
        <v>1E-3</v>
      </c>
      <c r="C67" s="45">
        <f t="shared" ref="C67:C71" si="32">B67*24*60*60*365</f>
        <v>31535.999999999996</v>
      </c>
      <c r="D67" s="76">
        <v>1</v>
      </c>
      <c r="E67" s="92">
        <f t="shared" ref="E67:E71" si="33">C$4</f>
        <v>8.405E-2</v>
      </c>
      <c r="F67" s="81">
        <v>0.75</v>
      </c>
      <c r="G67" s="95">
        <f t="shared" ref="G67:G71" si="34">C$4</f>
        <v>8.405E-2</v>
      </c>
      <c r="H67" s="85">
        <v>1</v>
      </c>
      <c r="I67" s="98">
        <v>0.5</v>
      </c>
      <c r="J67" s="89">
        <f t="shared" si="31"/>
        <v>2650.6007999999997</v>
      </c>
      <c r="K67" s="89">
        <f t="shared" ref="K67:K71" si="35">C67*F67*G67</f>
        <v>1987.9505999999997</v>
      </c>
      <c r="L67" s="89">
        <f t="shared" ref="L67:L71" si="36">(J67+K67)*H67*I67</f>
        <v>2319.2756999999997</v>
      </c>
    </row>
    <row r="68" spans="1:15">
      <c r="A68" s="8" t="s">
        <v>13</v>
      </c>
      <c r="B68" s="50">
        <f>IF(B$3='Base Cenários'!A$3,'Base Cenários'!E9,(IF(B$3='Base Cenários'!A$14,'Base Cenários'!E20,'Base Cenários'!E31)))</f>
        <v>8.0000000000000002E-3</v>
      </c>
      <c r="C68" s="45">
        <f t="shared" si="32"/>
        <v>252287.99999999997</v>
      </c>
      <c r="D68" s="76">
        <v>1</v>
      </c>
      <c r="E68" s="92">
        <f t="shared" si="33"/>
        <v>8.405E-2</v>
      </c>
      <c r="F68" s="81">
        <v>0.75</v>
      </c>
      <c r="G68" s="95">
        <f t="shared" si="34"/>
        <v>8.405E-2</v>
      </c>
      <c r="H68" s="85">
        <v>1</v>
      </c>
      <c r="I68" s="98">
        <v>0.5</v>
      </c>
      <c r="J68" s="89">
        <f t="shared" si="31"/>
        <v>21204.806399999998</v>
      </c>
      <c r="K68" s="89">
        <f t="shared" si="35"/>
        <v>15903.604799999997</v>
      </c>
      <c r="L68" s="89">
        <f t="shared" si="36"/>
        <v>18554.205599999998</v>
      </c>
    </row>
    <row r="69" spans="1:15">
      <c r="A69" s="8" t="s">
        <v>14</v>
      </c>
      <c r="B69" s="50">
        <f>IF(B$3='Base Cenários'!A$3,'Base Cenários'!E10,(IF(B$3='Base Cenários'!A$14,'Base Cenários'!E21,'Base Cenários'!E32)))</f>
        <v>1.4E-2</v>
      </c>
      <c r="C69" s="45">
        <f t="shared" si="32"/>
        <v>441503.99999999994</v>
      </c>
      <c r="D69" s="76">
        <v>1</v>
      </c>
      <c r="E69" s="92">
        <f t="shared" si="33"/>
        <v>8.405E-2</v>
      </c>
      <c r="F69" s="81">
        <v>0.75</v>
      </c>
      <c r="G69" s="95">
        <f t="shared" si="34"/>
        <v>8.405E-2</v>
      </c>
      <c r="H69" s="85">
        <v>1</v>
      </c>
      <c r="I69" s="98">
        <v>0.5</v>
      </c>
      <c r="J69" s="89">
        <f t="shared" si="31"/>
        <v>37108.411199999995</v>
      </c>
      <c r="K69" s="89">
        <f t="shared" si="35"/>
        <v>27831.308399999994</v>
      </c>
      <c r="L69" s="89">
        <f t="shared" si="36"/>
        <v>32469.859799999995</v>
      </c>
    </row>
    <row r="70" spans="1:15">
      <c r="A70" s="8" t="s">
        <v>15</v>
      </c>
      <c r="B70" s="50">
        <f>IF(B$3='Base Cenários'!A$3,'Base Cenários'!E11,(IF(B$3='Base Cenários'!A$14,'Base Cenários'!E22,'Base Cenários'!E33)))</f>
        <v>4.0000000000000001E-3</v>
      </c>
      <c r="C70" s="45">
        <f t="shared" si="32"/>
        <v>126143.99999999999</v>
      </c>
      <c r="D70" s="76">
        <v>1</v>
      </c>
      <c r="E70" s="92">
        <f t="shared" si="33"/>
        <v>8.405E-2</v>
      </c>
      <c r="F70" s="81">
        <v>0.75</v>
      </c>
      <c r="G70" s="95">
        <f t="shared" si="34"/>
        <v>8.405E-2</v>
      </c>
      <c r="H70" s="85">
        <v>1</v>
      </c>
      <c r="I70" s="98">
        <v>0.5</v>
      </c>
      <c r="J70" s="89">
        <f t="shared" si="31"/>
        <v>10602.403199999999</v>
      </c>
      <c r="K70" s="89">
        <f t="shared" si="35"/>
        <v>7951.8023999999987</v>
      </c>
      <c r="L70" s="89">
        <f t="shared" si="36"/>
        <v>9277.1027999999988</v>
      </c>
    </row>
    <row r="71" spans="1:15" ht="12.75" thickBot="1">
      <c r="A71" s="10" t="s">
        <v>16</v>
      </c>
      <c r="B71" s="51">
        <f>IF(B$3='Base Cenários'!A$3,'Base Cenários'!E12,(IF(B$3='Base Cenários'!A$14,'Base Cenários'!E23,'Base Cenários'!E34)))</f>
        <v>4.0000000000000001E-3</v>
      </c>
      <c r="C71" s="51">
        <f t="shared" si="32"/>
        <v>126143.99999999999</v>
      </c>
      <c r="D71" s="77">
        <v>1</v>
      </c>
      <c r="E71" s="93">
        <f t="shared" si="33"/>
        <v>8.405E-2</v>
      </c>
      <c r="F71" s="82">
        <v>0.75</v>
      </c>
      <c r="G71" s="96">
        <f t="shared" si="34"/>
        <v>8.405E-2</v>
      </c>
      <c r="H71" s="86">
        <v>1</v>
      </c>
      <c r="I71" s="99">
        <v>0.5</v>
      </c>
      <c r="J71" s="90">
        <f t="shared" si="31"/>
        <v>10602.403199999999</v>
      </c>
      <c r="K71" s="90">
        <f t="shared" si="35"/>
        <v>7951.8023999999987</v>
      </c>
      <c r="L71" s="90">
        <f t="shared" si="36"/>
        <v>9277.1027999999988</v>
      </c>
    </row>
    <row r="72" spans="1:15" ht="12.75" thickBot="1">
      <c r="K72" s="46" t="s">
        <v>40</v>
      </c>
      <c r="L72" s="94">
        <f>SUM(L66:L71)</f>
        <v>74216.82239999999</v>
      </c>
    </row>
    <row r="73" spans="1:15">
      <c r="K73" s="43"/>
      <c r="L73" s="73"/>
    </row>
    <row r="74" spans="1:15" ht="12.75" thickBot="1"/>
    <row r="75" spans="1:15" ht="12.75" thickBot="1">
      <c r="A75" s="165" t="s">
        <v>44</v>
      </c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</row>
    <row r="76" spans="1:15" ht="15.75" customHeight="1" thickBot="1">
      <c r="A76" s="158" t="s">
        <v>36</v>
      </c>
      <c r="B76" s="75" t="s">
        <v>37</v>
      </c>
      <c r="C76" s="75"/>
      <c r="D76" s="75"/>
      <c r="E76" s="75"/>
      <c r="F76" s="164" t="s">
        <v>86</v>
      </c>
      <c r="G76" s="164"/>
      <c r="H76" s="164"/>
      <c r="I76" s="162" t="s">
        <v>88</v>
      </c>
      <c r="J76" s="162"/>
      <c r="K76" s="83" t="s">
        <v>91</v>
      </c>
      <c r="L76" s="163" t="s">
        <v>82</v>
      </c>
      <c r="M76" s="163"/>
      <c r="N76" s="163"/>
      <c r="O76" s="163"/>
    </row>
    <row r="77" spans="1:15" ht="12.75" thickBot="1">
      <c r="A77" s="159"/>
      <c r="B77" s="44" t="s">
        <v>38</v>
      </c>
      <c r="C77" s="44" t="s">
        <v>87</v>
      </c>
      <c r="D77" s="44" t="s">
        <v>89</v>
      </c>
      <c r="E77" s="44" t="s">
        <v>97</v>
      </c>
      <c r="F77" s="80" t="s">
        <v>94</v>
      </c>
      <c r="G77" s="80" t="s">
        <v>95</v>
      </c>
      <c r="H77" s="80" t="s">
        <v>98</v>
      </c>
      <c r="I77" s="91" t="s">
        <v>96</v>
      </c>
      <c r="J77" s="91" t="s">
        <v>98</v>
      </c>
      <c r="K77" s="84" t="s">
        <v>92</v>
      </c>
      <c r="L77" s="88" t="s">
        <v>83</v>
      </c>
      <c r="M77" s="88" t="s">
        <v>84</v>
      </c>
      <c r="N77" s="88" t="s">
        <v>85</v>
      </c>
      <c r="O77" s="88" t="s">
        <v>93</v>
      </c>
    </row>
    <row r="78" spans="1:15">
      <c r="A78" s="8" t="s">
        <v>11</v>
      </c>
      <c r="B78" s="50">
        <f>IF(B$3='Base Cenários'!A$3,'Base Cenários'!F7,(IF(B$3='Base Cenários'!A$14,'Base Cenários'!F18,'Base Cenários'!F29)))</f>
        <v>0</v>
      </c>
      <c r="C78" s="45">
        <f>B78*24*60*60*365</f>
        <v>0</v>
      </c>
      <c r="D78" s="76">
        <v>1</v>
      </c>
      <c r="E78" s="92">
        <f>C$4</f>
        <v>8.405E-2</v>
      </c>
      <c r="F78" s="81">
        <f t="shared" ref="F78:F83" si="37">C78</f>
        <v>0</v>
      </c>
      <c r="G78" s="81">
        <v>0</v>
      </c>
      <c r="H78" s="95">
        <f>C$4</f>
        <v>8.405E-2</v>
      </c>
      <c r="I78" s="47">
        <f>IF(B$3='Base Cenários'!A$3,'Base Cenários'!K7,(IF(B$3='Base Cenários'!A$14,'Base Cenários'!K18,'Base Cenários'!K29)))</f>
        <v>0</v>
      </c>
      <c r="J78" s="47">
        <f>C$4</f>
        <v>8.405E-2</v>
      </c>
      <c r="K78" s="85">
        <v>1</v>
      </c>
      <c r="L78" s="89">
        <f>C78*D78*E78</f>
        <v>0</v>
      </c>
      <c r="M78" s="89">
        <f>IF(F78&gt;0,(F78-G78)*H78*(C78/F78),0)</f>
        <v>0</v>
      </c>
      <c r="N78" s="89">
        <f>I78*J78</f>
        <v>0</v>
      </c>
      <c r="O78" s="89">
        <f>(L78+M78+N78)*K78</f>
        <v>0</v>
      </c>
    </row>
    <row r="79" spans="1:15">
      <c r="A79" s="8" t="s">
        <v>12</v>
      </c>
      <c r="B79" s="50">
        <f>IF(B$3='Base Cenários'!A$3,'Base Cenários'!F8,(IF(B$3='Base Cenários'!A$14,'Base Cenários'!F19,'Base Cenários'!F30)))</f>
        <v>0</v>
      </c>
      <c r="C79" s="45">
        <f t="shared" ref="C79:C83" si="38">B79*24*60*60*365</f>
        <v>0</v>
      </c>
      <c r="D79" s="76">
        <v>1</v>
      </c>
      <c r="E79" s="92">
        <f t="shared" ref="E79:E83" si="39">C$4</f>
        <v>8.405E-2</v>
      </c>
      <c r="F79" s="81">
        <f t="shared" si="37"/>
        <v>0</v>
      </c>
      <c r="G79" s="81">
        <v>0</v>
      </c>
      <c r="H79" s="95">
        <f t="shared" ref="H79:H83" si="40">C$4</f>
        <v>8.405E-2</v>
      </c>
      <c r="I79" s="47">
        <f>IF(B$3='Base Cenários'!A$3,'Base Cenários'!K8,(IF(B$3='Base Cenários'!A$14,'Base Cenários'!K19,'Base Cenários'!K30)))</f>
        <v>0</v>
      </c>
      <c r="J79" s="47">
        <f t="shared" ref="J79:J83" si="41">C$4</f>
        <v>8.405E-2</v>
      </c>
      <c r="K79" s="85">
        <v>1</v>
      </c>
      <c r="L79" s="89">
        <f t="shared" ref="L79:L83" si="42">C79*D79*E79</f>
        <v>0</v>
      </c>
      <c r="M79" s="89">
        <f t="shared" ref="M79:M83" si="43">IF(F79&gt;0,(F79-G79)*H79*(C79/F79),0)</f>
        <v>0</v>
      </c>
      <c r="N79" s="89">
        <f t="shared" ref="N79:N83" si="44">I79*J79</f>
        <v>0</v>
      </c>
      <c r="O79" s="89">
        <f t="shared" ref="O79:O83" si="45">(L79+M79+N79)*K79</f>
        <v>0</v>
      </c>
    </row>
    <row r="80" spans="1:15">
      <c r="A80" s="8" t="s">
        <v>13</v>
      </c>
      <c r="B80" s="50">
        <f>IF(B$3='Base Cenários'!A$3,'Base Cenários'!F9,(IF(B$3='Base Cenários'!A$14,'Base Cenários'!F20,'Base Cenários'!F31)))</f>
        <v>0</v>
      </c>
      <c r="C80" s="45">
        <f t="shared" si="38"/>
        <v>0</v>
      </c>
      <c r="D80" s="76">
        <v>1</v>
      </c>
      <c r="E80" s="92">
        <f t="shared" si="39"/>
        <v>8.405E-2</v>
      </c>
      <c r="F80" s="81">
        <f t="shared" si="37"/>
        <v>0</v>
      </c>
      <c r="G80" s="81">
        <v>0</v>
      </c>
      <c r="H80" s="95">
        <f t="shared" si="40"/>
        <v>8.405E-2</v>
      </c>
      <c r="I80" s="47">
        <f>IF(B$3='Base Cenários'!A$3,'Base Cenários'!K9,(IF(B$3='Base Cenários'!A$14,'Base Cenários'!K20,'Base Cenários'!K31)))</f>
        <v>0</v>
      </c>
      <c r="J80" s="47">
        <f t="shared" si="41"/>
        <v>8.405E-2</v>
      </c>
      <c r="K80" s="85">
        <v>1</v>
      </c>
      <c r="L80" s="89">
        <f t="shared" si="42"/>
        <v>0</v>
      </c>
      <c r="M80" s="89">
        <f t="shared" si="43"/>
        <v>0</v>
      </c>
      <c r="N80" s="89">
        <f t="shared" si="44"/>
        <v>0</v>
      </c>
      <c r="O80" s="89">
        <f t="shared" si="45"/>
        <v>0</v>
      </c>
    </row>
    <row r="81" spans="1:15">
      <c r="A81" s="8" t="s">
        <v>14</v>
      </c>
      <c r="B81" s="50">
        <f>IF(B$3='Base Cenários'!A$3,'Base Cenários'!F10,(IF(B$3='Base Cenários'!A$14,'Base Cenários'!F21,'Base Cenários'!F32)))</f>
        <v>2.0501472602739725</v>
      </c>
      <c r="C81" s="45">
        <f t="shared" si="38"/>
        <v>64653443.999999993</v>
      </c>
      <c r="D81" s="76">
        <v>1</v>
      </c>
      <c r="E81" s="92">
        <f t="shared" si="39"/>
        <v>8.405E-2</v>
      </c>
      <c r="F81" s="81">
        <f t="shared" si="37"/>
        <v>64653443.999999993</v>
      </c>
      <c r="G81" s="81">
        <v>0</v>
      </c>
      <c r="H81" s="95">
        <f t="shared" si="40"/>
        <v>8.405E-2</v>
      </c>
      <c r="I81" s="47">
        <f>IF(B$3='Base Cenários'!A$3,'Base Cenários'!K10,(IF(B$3='Base Cenários'!A$14,'Base Cenários'!K21,'Base Cenários'!K32)))</f>
        <v>717043.82975999999</v>
      </c>
      <c r="J81" s="47">
        <f t="shared" si="41"/>
        <v>8.405E-2</v>
      </c>
      <c r="K81" s="85">
        <v>1</v>
      </c>
      <c r="L81" s="89">
        <f t="shared" si="42"/>
        <v>5434121.9681999991</v>
      </c>
      <c r="M81" s="89">
        <f t="shared" si="43"/>
        <v>5434121.9681999991</v>
      </c>
      <c r="N81" s="89">
        <f t="shared" si="44"/>
        <v>60267.533891327999</v>
      </c>
      <c r="O81" s="89">
        <f t="shared" si="45"/>
        <v>10928511.470291326</v>
      </c>
    </row>
    <row r="82" spans="1:15">
      <c r="A82" s="8" t="s">
        <v>15</v>
      </c>
      <c r="B82" s="50">
        <f>IF(B$3='Base Cenários'!A$3,'Base Cenários'!F11,(IF(B$3='Base Cenários'!A$14,'Base Cenários'!F22,'Base Cenários'!F33)))</f>
        <v>0</v>
      </c>
      <c r="C82" s="45">
        <f t="shared" si="38"/>
        <v>0</v>
      </c>
      <c r="D82" s="76">
        <v>1</v>
      </c>
      <c r="E82" s="92">
        <f t="shared" si="39"/>
        <v>8.405E-2</v>
      </c>
      <c r="F82" s="81">
        <f t="shared" si="37"/>
        <v>0</v>
      </c>
      <c r="G82" s="81">
        <v>0</v>
      </c>
      <c r="H82" s="95">
        <f t="shared" si="40"/>
        <v>8.405E-2</v>
      </c>
      <c r="I82" s="47">
        <f>IF(B$3='Base Cenários'!A$3,'Base Cenários'!K11,(IF(B$3='Base Cenários'!A$14,'Base Cenários'!K22,'Base Cenários'!K33)))</f>
        <v>0</v>
      </c>
      <c r="J82" s="47">
        <f t="shared" si="41"/>
        <v>8.405E-2</v>
      </c>
      <c r="K82" s="85">
        <v>1</v>
      </c>
      <c r="L82" s="89">
        <f t="shared" si="42"/>
        <v>0</v>
      </c>
      <c r="M82" s="89">
        <f t="shared" si="43"/>
        <v>0</v>
      </c>
      <c r="N82" s="89">
        <f t="shared" si="44"/>
        <v>0</v>
      </c>
      <c r="O82" s="89">
        <f t="shared" si="45"/>
        <v>0</v>
      </c>
    </row>
    <row r="83" spans="1:15" ht="12.75" thickBot="1">
      <c r="A83" s="10" t="s">
        <v>16</v>
      </c>
      <c r="B83" s="51">
        <f>IF(B$3='Base Cenários'!A$3,'Base Cenários'!F12,(IF(B$3='Base Cenários'!A$14,'Base Cenários'!F23,'Base Cenários'!F34)))</f>
        <v>0</v>
      </c>
      <c r="C83" s="51">
        <f t="shared" si="38"/>
        <v>0</v>
      </c>
      <c r="D83" s="77">
        <v>1</v>
      </c>
      <c r="E83" s="93">
        <f t="shared" si="39"/>
        <v>8.405E-2</v>
      </c>
      <c r="F83" s="82">
        <f t="shared" si="37"/>
        <v>0</v>
      </c>
      <c r="G83" s="82">
        <v>0</v>
      </c>
      <c r="H83" s="96">
        <f t="shared" si="40"/>
        <v>8.405E-2</v>
      </c>
      <c r="I83" s="48">
        <f>IF(B$3='Base Cenários'!A$3,'Base Cenários'!K12,(IF(B$3='Base Cenários'!A$14,'Base Cenários'!K23,'Base Cenários'!K34)))</f>
        <v>0</v>
      </c>
      <c r="J83" s="48">
        <f t="shared" si="41"/>
        <v>8.405E-2</v>
      </c>
      <c r="K83" s="86">
        <v>1</v>
      </c>
      <c r="L83" s="90">
        <f t="shared" si="42"/>
        <v>0</v>
      </c>
      <c r="M83" s="90">
        <f t="shared" si="43"/>
        <v>0</v>
      </c>
      <c r="N83" s="90">
        <f t="shared" si="44"/>
        <v>0</v>
      </c>
      <c r="O83" s="90">
        <f t="shared" si="45"/>
        <v>0</v>
      </c>
    </row>
    <row r="84" spans="1:15" ht="12.75" thickBot="1">
      <c r="N84" s="46" t="s">
        <v>40</v>
      </c>
      <c r="O84" s="94">
        <f>SUM(O78:O83)</f>
        <v>10928511.470291326</v>
      </c>
    </row>
  </sheetData>
  <mergeCells count="34">
    <mergeCell ref="A1:M1"/>
    <mergeCell ref="B2:I2"/>
    <mergeCell ref="A6:F6"/>
    <mergeCell ref="H6:M6"/>
    <mergeCell ref="A7:A8"/>
    <mergeCell ref="H7:H8"/>
    <mergeCell ref="B8:F8"/>
    <mergeCell ref="I8:M8"/>
    <mergeCell ref="A25:Q25"/>
    <mergeCell ref="A26:A27"/>
    <mergeCell ref="B26:F26"/>
    <mergeCell ref="G26:J26"/>
    <mergeCell ref="K26:L26"/>
    <mergeCell ref="N26:Q26"/>
    <mergeCell ref="A64:A65"/>
    <mergeCell ref="B64:E64"/>
    <mergeCell ref="F64:G64"/>
    <mergeCell ref="J64:L64"/>
    <mergeCell ref="A39:M39"/>
    <mergeCell ref="A40:A41"/>
    <mergeCell ref="B40:E40"/>
    <mergeCell ref="F40:H40"/>
    <mergeCell ref="K40:M40"/>
    <mergeCell ref="A51:O51"/>
    <mergeCell ref="A52:A53"/>
    <mergeCell ref="F52:H52"/>
    <mergeCell ref="I52:J52"/>
    <mergeCell ref="L52:O52"/>
    <mergeCell ref="A63:L63"/>
    <mergeCell ref="A75:O75"/>
    <mergeCell ref="A76:A77"/>
    <mergeCell ref="F76:H76"/>
    <mergeCell ref="I76:J76"/>
    <mergeCell ref="L76:O76"/>
  </mergeCells>
  <dataValidations count="2">
    <dataValidation type="list" allowBlank="1" showInputMessage="1" showErrorMessage="1" sqref="B4" xr:uid="{3AE97FA3-5894-46CC-AC1D-A462B8D9F192}">
      <formula1>"PPU 1,PPU 2,PPU 3"</formula1>
    </dataValidation>
    <dataValidation type="list" allowBlank="1" showInputMessage="1" showErrorMessage="1" sqref="B3" xr:uid="{EF36AD37-DBFA-4DFF-85DA-BC6EFD83F50E}">
      <formula1>"Cenário 1,Cenário 2,Cenário 3"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76559-D22A-4DA4-A83A-2898CCB4D6AA}">
  <dimension ref="A1:Q84"/>
  <sheetViews>
    <sheetView workbookViewId="0">
      <selection activeCell="G10" sqref="G10"/>
    </sheetView>
  </sheetViews>
  <sheetFormatPr defaultColWidth="9.125" defaultRowHeight="12"/>
  <cols>
    <col min="1" max="1" width="19.75" style="8" bestFit="1" customWidth="1"/>
    <col min="2" max="2" width="16.25" style="8" bestFit="1" customWidth="1"/>
    <col min="3" max="4" width="15.25" style="8" bestFit="1" customWidth="1"/>
    <col min="5" max="5" width="13.75" style="8" bestFit="1" customWidth="1"/>
    <col min="6" max="6" width="16.125" style="8" bestFit="1" customWidth="1"/>
    <col min="7" max="7" width="12.375" style="8" customWidth="1"/>
    <col min="8" max="8" width="18.75" style="8" bestFit="1" customWidth="1"/>
    <col min="9" max="9" width="15.875" style="42" bestFit="1" customWidth="1"/>
    <col min="10" max="10" width="16.125" style="42" bestFit="1" customWidth="1"/>
    <col min="11" max="11" width="13.625" style="8" bestFit="1" customWidth="1"/>
    <col min="12" max="13" width="15" style="8" bestFit="1" customWidth="1"/>
    <col min="14" max="14" width="16" style="8" bestFit="1" customWidth="1"/>
    <col min="15" max="15" width="15" style="8" bestFit="1" customWidth="1"/>
    <col min="16" max="16" width="13.625" style="8" bestFit="1" customWidth="1"/>
    <col min="17" max="17" width="15" style="8" bestFit="1" customWidth="1"/>
    <col min="18" max="16384" width="9.125" style="8"/>
  </cols>
  <sheetData>
    <row r="1" spans="1:13" ht="15.75">
      <c r="A1" s="152" t="s">
        <v>117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</row>
    <row r="2" spans="1:13">
      <c r="A2" s="38" t="s">
        <v>34</v>
      </c>
      <c r="B2" s="153" t="s">
        <v>100</v>
      </c>
      <c r="C2" s="153"/>
      <c r="D2" s="153"/>
      <c r="E2" s="153"/>
      <c r="F2" s="153"/>
      <c r="G2" s="153"/>
      <c r="H2" s="153"/>
      <c r="I2" s="153"/>
      <c r="J2" s="39"/>
    </row>
    <row r="3" spans="1:13">
      <c r="A3" s="38" t="s">
        <v>35</v>
      </c>
      <c r="B3" s="40" t="s">
        <v>104</v>
      </c>
      <c r="C3" s="40"/>
      <c r="D3" s="40"/>
      <c r="E3" s="40"/>
      <c r="F3" s="40"/>
      <c r="G3" s="40"/>
      <c r="H3" s="40"/>
      <c r="I3" s="39"/>
      <c r="J3" s="39"/>
    </row>
    <row r="4" spans="1:13">
      <c r="A4" s="38" t="s">
        <v>81</v>
      </c>
      <c r="B4" s="40" t="s">
        <v>64</v>
      </c>
      <c r="C4" s="52">
        <f>IF(B4='Base Cenários'!M2,'Base Cenários'!N2,(IF('Cenário B.3.3'!B4='Base Cenários'!M3,'Base Cenários'!N3,'Base Cenários'!N4)))</f>
        <v>0.15</v>
      </c>
      <c r="D4" s="40" t="s">
        <v>41</v>
      </c>
      <c r="E4" s="40"/>
      <c r="F4" s="40"/>
      <c r="G4" s="40"/>
      <c r="H4" s="40"/>
      <c r="I4" s="39"/>
      <c r="J4" s="39"/>
    </row>
    <row r="5" spans="1:13" ht="12.75" thickBot="1">
      <c r="A5" s="10"/>
      <c r="B5" s="10"/>
      <c r="C5" s="10"/>
      <c r="D5" s="10"/>
      <c r="E5" s="10"/>
      <c r="F5" s="10"/>
      <c r="H5" s="10"/>
      <c r="I5" s="41"/>
      <c r="J5" s="41"/>
      <c r="K5" s="10"/>
      <c r="L5" s="10"/>
      <c r="M5" s="10"/>
    </row>
    <row r="6" spans="1:13">
      <c r="A6" s="154" t="s">
        <v>46</v>
      </c>
      <c r="B6" s="154"/>
      <c r="C6" s="154"/>
      <c r="D6" s="154"/>
      <c r="E6" s="154"/>
      <c r="F6" s="154"/>
      <c r="H6" s="154" t="s">
        <v>47</v>
      </c>
      <c r="I6" s="154"/>
      <c r="J6" s="154"/>
      <c r="K6" s="154"/>
      <c r="L6" s="154"/>
      <c r="M6" s="154"/>
    </row>
    <row r="7" spans="1:13" s="11" customFormat="1">
      <c r="A7" s="155" t="s">
        <v>45</v>
      </c>
      <c r="B7" s="35" t="s">
        <v>1</v>
      </c>
      <c r="C7" s="35" t="s">
        <v>2</v>
      </c>
      <c r="D7" s="35" t="s">
        <v>3</v>
      </c>
      <c r="E7" s="35" t="s">
        <v>4</v>
      </c>
      <c r="F7" s="35" t="s">
        <v>5</v>
      </c>
      <c r="H7" s="155" t="s">
        <v>45</v>
      </c>
      <c r="I7" s="35" t="s">
        <v>1</v>
      </c>
      <c r="J7" s="35" t="s">
        <v>2</v>
      </c>
      <c r="K7" s="35" t="s">
        <v>3</v>
      </c>
      <c r="L7" s="35" t="s">
        <v>4</v>
      </c>
      <c r="M7" s="35" t="s">
        <v>5</v>
      </c>
    </row>
    <row r="8" spans="1:13">
      <c r="A8" s="156"/>
      <c r="B8" s="144" t="s">
        <v>39</v>
      </c>
      <c r="C8" s="144"/>
      <c r="D8" s="144"/>
      <c r="E8" s="144"/>
      <c r="F8" s="144"/>
      <c r="H8" s="156"/>
      <c r="I8" s="144" t="s">
        <v>48</v>
      </c>
      <c r="J8" s="144"/>
      <c r="K8" s="144"/>
      <c r="L8" s="144"/>
      <c r="M8" s="144"/>
    </row>
    <row r="9" spans="1:13">
      <c r="A9" s="8" t="s">
        <v>11</v>
      </c>
      <c r="B9" s="9">
        <f t="shared" ref="B9:B14" si="0">Q28</f>
        <v>152.82</v>
      </c>
      <c r="C9" s="9">
        <f>M42</f>
        <v>0</v>
      </c>
      <c r="D9" s="9">
        <f>O54</f>
        <v>114.48</v>
      </c>
      <c r="E9" s="9">
        <f>L66</f>
        <v>4139.0999999999995</v>
      </c>
      <c r="F9" s="9">
        <f>O78</f>
        <v>0</v>
      </c>
      <c r="H9" s="8" t="s">
        <v>11</v>
      </c>
      <c r="I9" s="53">
        <f>IF(Renda!B20&gt;0,B9/Renda!B20,0)</f>
        <v>9.8340895510962446E-5</v>
      </c>
      <c r="J9" s="53">
        <f>IF(Renda!C20&gt;0,C9/Renda!C20,0)</f>
        <v>0</v>
      </c>
      <c r="K9" s="53">
        <f>IF(Renda!D20&gt;0,D9/Renda!D20,0)</f>
        <v>3.045476774413003E-7</v>
      </c>
      <c r="L9" s="53">
        <f>IF(Renda!E20&gt;0,E9/Renda!E20,0)</f>
        <v>2.8036468825447236E-4</v>
      </c>
      <c r="M9" s="53">
        <f>IF(Renda!F20&gt;0,F9/Renda!F20,0)</f>
        <v>0</v>
      </c>
    </row>
    <row r="10" spans="1:13">
      <c r="A10" s="8" t="s">
        <v>12</v>
      </c>
      <c r="B10" s="9">
        <f t="shared" si="0"/>
        <v>18814.679999999997</v>
      </c>
      <c r="C10" s="9">
        <f t="shared" ref="C10:C14" si="1">M43</f>
        <v>0</v>
      </c>
      <c r="D10" s="9">
        <f t="shared" ref="D10:D14" si="2">O55</f>
        <v>0</v>
      </c>
      <c r="E10" s="9">
        <f t="shared" ref="E10:E14" si="3">L67</f>
        <v>4139.0999999999995</v>
      </c>
      <c r="F10" s="9">
        <f t="shared" ref="F10:F14" si="4">O79</f>
        <v>0</v>
      </c>
      <c r="H10" s="8" t="s">
        <v>12</v>
      </c>
      <c r="I10" s="53">
        <f>IF(Renda!B21&gt;0,B10/Renda!B21,0)</f>
        <v>1.2556059696627166E-3</v>
      </c>
      <c r="J10" s="53">
        <f>IF(Renda!C21&gt;0,C10/Renda!C21,0)</f>
        <v>0</v>
      </c>
      <c r="K10" s="53">
        <f>IF(Renda!D21&gt;0,D10/Renda!D21,0)</f>
        <v>0</v>
      </c>
      <c r="L10" s="53">
        <f>IF(Renda!E21&gt;0,E10/Renda!E21,0)</f>
        <v>2.774526727966768E-4</v>
      </c>
      <c r="M10" s="53">
        <f>IF(Renda!F21&gt;0,F10/Renda!F21,0)</f>
        <v>0</v>
      </c>
    </row>
    <row r="11" spans="1:13">
      <c r="A11" s="8" t="s">
        <v>13</v>
      </c>
      <c r="B11" s="9">
        <f t="shared" si="0"/>
        <v>1683.288</v>
      </c>
      <c r="C11" s="9">
        <f t="shared" si="1"/>
        <v>0</v>
      </c>
      <c r="D11" s="9">
        <f t="shared" si="2"/>
        <v>0</v>
      </c>
      <c r="E11" s="9">
        <f t="shared" si="3"/>
        <v>33112.799999999996</v>
      </c>
      <c r="F11" s="9">
        <f t="shared" si="4"/>
        <v>0</v>
      </c>
      <c r="H11" s="8" t="s">
        <v>13</v>
      </c>
      <c r="I11" s="53">
        <f>IF(Renda!B22&gt;0,B11/Renda!B22,0)</f>
        <v>0</v>
      </c>
      <c r="J11" s="53">
        <f>IF(Renda!C22&gt;0,C11/Renda!C22,0)</f>
        <v>0</v>
      </c>
      <c r="K11" s="53">
        <f>IF(Renda!D22&gt;0,D11/Renda!D22,0)</f>
        <v>0</v>
      </c>
      <c r="L11" s="53">
        <f>IF(Renda!E22&gt;0,E11/Renda!E22,0)</f>
        <v>1.4040865690356323E-3</v>
      </c>
      <c r="M11" s="53">
        <f>IF(Renda!F22&gt;0,F11/Renda!F22,0)</f>
        <v>0</v>
      </c>
    </row>
    <row r="12" spans="1:13">
      <c r="A12" s="8" t="s">
        <v>14</v>
      </c>
      <c r="B12" s="9">
        <f t="shared" si="0"/>
        <v>7861665.8160000006</v>
      </c>
      <c r="C12" s="9">
        <f t="shared" si="1"/>
        <v>0</v>
      </c>
      <c r="D12" s="9">
        <f t="shared" si="2"/>
        <v>7011345.959999999</v>
      </c>
      <c r="E12" s="9">
        <f t="shared" si="3"/>
        <v>57947.399999999994</v>
      </c>
      <c r="F12" s="9">
        <f t="shared" si="4"/>
        <v>19503589.774463996</v>
      </c>
      <c r="H12" s="8" t="s">
        <v>14</v>
      </c>
      <c r="I12" s="53">
        <f>IF(Renda!B23&gt;0,B12/Renda!B23,0)</f>
        <v>9.2486159744834484E-2</v>
      </c>
      <c r="J12" s="53">
        <f>IF(Renda!C23&gt;0,C12/Renda!C23,0)</f>
        <v>0</v>
      </c>
      <c r="K12" s="53">
        <f>IF(Renda!D23&gt;0,D12/Renda!D23,0)</f>
        <v>1.1438976090270446E-3</v>
      </c>
      <c r="L12" s="53">
        <f>IF(Renda!E23&gt;0,E12/Renda!E23,0)</f>
        <v>6.9324043790492805E-4</v>
      </c>
      <c r="M12" s="53">
        <f>IF(Renda!F23&gt;0,F12/Renda!F23,0)</f>
        <v>6.7394032353607402E-3</v>
      </c>
    </row>
    <row r="13" spans="1:13">
      <c r="A13" s="8" t="s">
        <v>15</v>
      </c>
      <c r="B13" s="9">
        <f t="shared" si="0"/>
        <v>88016.111999999979</v>
      </c>
      <c r="C13" s="9">
        <f t="shared" si="1"/>
        <v>308284.07039999997</v>
      </c>
      <c r="D13" s="9">
        <f t="shared" si="2"/>
        <v>57.78</v>
      </c>
      <c r="E13" s="9">
        <f t="shared" si="3"/>
        <v>16556.399999999998</v>
      </c>
      <c r="F13" s="9">
        <f t="shared" si="4"/>
        <v>0</v>
      </c>
      <c r="H13" s="8" t="s">
        <v>15</v>
      </c>
      <c r="I13" s="53">
        <f>IF(Renda!B24&gt;0,B13/Renda!B24,0)</f>
        <v>3.9682193357048055E-2</v>
      </c>
      <c r="J13" s="53">
        <f>IF(Renda!C24&gt;0,C13/Renda!C24,0)</f>
        <v>0.22577462878641469</v>
      </c>
      <c r="K13" s="53">
        <f>IF(Renda!D24&gt;0,D13/Renda!D24,0)</f>
        <v>6.7903979511274911E-8</v>
      </c>
      <c r="L13" s="53">
        <f>IF(Renda!E24&gt;0,E13/Renda!E24,0)</f>
        <v>1.1483444238760104E-4</v>
      </c>
      <c r="M13" s="53">
        <f>IF(Renda!F24&gt;0,F13/Renda!F24,0)</f>
        <v>0</v>
      </c>
    </row>
    <row r="14" spans="1:13">
      <c r="A14" s="8" t="s">
        <v>16</v>
      </c>
      <c r="B14" s="9">
        <f t="shared" si="0"/>
        <v>3351214.62</v>
      </c>
      <c r="C14" s="9">
        <f t="shared" si="1"/>
        <v>0</v>
      </c>
      <c r="D14" s="9">
        <f t="shared" si="2"/>
        <v>7251.66</v>
      </c>
      <c r="E14" s="9">
        <f t="shared" si="3"/>
        <v>16556.399999999998</v>
      </c>
      <c r="F14" s="9">
        <f t="shared" si="4"/>
        <v>0</v>
      </c>
      <c r="H14" s="8" t="s">
        <v>16</v>
      </c>
      <c r="I14" s="53">
        <f>IF(Renda!B25&gt;0,B14/Renda!B25,0)</f>
        <v>6.7983413941101509E-2</v>
      </c>
      <c r="J14" s="53">
        <f>IF(Renda!C25&gt;0,C14/Renda!C25,0)</f>
        <v>0</v>
      </c>
      <c r="K14" s="53">
        <f>IF(Renda!D25&gt;0,D14/Renda!D25,0)</f>
        <v>1.5381004938740943E-6</v>
      </c>
      <c r="L14" s="53">
        <f>IF(Renda!E25&gt;0,E14/Renda!E25,0)</f>
        <v>1.0509440990941145E-3</v>
      </c>
      <c r="M14" s="53">
        <f>IF(Renda!F25&gt;0,F14/Renda!F25,0)</f>
        <v>0</v>
      </c>
    </row>
    <row r="15" spans="1:13" ht="12.75" thickBot="1">
      <c r="A15" s="36" t="s">
        <v>17</v>
      </c>
      <c r="B15" s="37">
        <f>SUM(B9:B14)</f>
        <v>11321547.335999999</v>
      </c>
      <c r="C15" s="37">
        <f t="shared" ref="C15:E15" si="5">SUM(C9:C14)</f>
        <v>308284.07039999997</v>
      </c>
      <c r="D15" s="37">
        <f t="shared" si="5"/>
        <v>7018769.8799999999</v>
      </c>
      <c r="E15" s="37">
        <f t="shared" si="5"/>
        <v>132451.19999999998</v>
      </c>
      <c r="F15" s="37">
        <f>SUM(F9:F14)</f>
        <v>19503589.774463996</v>
      </c>
      <c r="H15" s="36" t="s">
        <v>17</v>
      </c>
      <c r="I15" s="54">
        <f>IF(B15&gt;0,B15/Renda!B26,0)</f>
        <v>7.3970527476521886E-2</v>
      </c>
      <c r="J15" s="54">
        <f>IF(C15&gt;0,C15/Renda!C26,0)</f>
        <v>0.20395866647888508</v>
      </c>
      <c r="K15" s="54">
        <f>IF(D15&gt;0,D15/Renda!D26,0)</f>
        <v>5.2429830715906617E-4</v>
      </c>
      <c r="L15" s="54">
        <f>IF(E15&gt;0,E15/Renda!E26,0)</f>
        <v>4.4628832323475112E-4</v>
      </c>
      <c r="M15" s="54">
        <f>IF(F15&gt;0,F15/Renda!F26,0)</f>
        <v>6.7394032353607402E-3</v>
      </c>
    </row>
    <row r="16" spans="1:13">
      <c r="A16" s="43"/>
      <c r="B16" s="73"/>
      <c r="C16" s="73"/>
      <c r="D16" s="73"/>
      <c r="E16" s="73"/>
      <c r="F16" s="73"/>
      <c r="H16" s="43"/>
      <c r="I16" s="74"/>
      <c r="J16" s="74"/>
      <c r="K16" s="74"/>
      <c r="L16" s="74"/>
      <c r="M16" s="74"/>
    </row>
    <row r="17" spans="1:17">
      <c r="A17" s="43"/>
      <c r="B17" s="73"/>
      <c r="C17" s="73"/>
      <c r="D17" s="73"/>
      <c r="E17" s="73"/>
      <c r="F17" s="73"/>
      <c r="H17" s="43"/>
      <c r="I17" s="74"/>
      <c r="J17" s="74"/>
      <c r="K17" s="74"/>
      <c r="L17" s="74"/>
      <c r="M17" s="74"/>
    </row>
    <row r="18" spans="1:17">
      <c r="A18" s="43" t="s">
        <v>49</v>
      </c>
      <c r="B18" s="73"/>
      <c r="C18" s="73"/>
      <c r="D18" s="73"/>
      <c r="E18" s="73"/>
      <c r="F18" s="73"/>
      <c r="H18" s="43"/>
      <c r="I18" s="74"/>
      <c r="J18" s="74"/>
      <c r="K18" s="74"/>
      <c r="L18" s="74"/>
      <c r="M18" s="74"/>
    </row>
    <row r="19" spans="1:17">
      <c r="A19" s="43"/>
      <c r="B19" s="73"/>
      <c r="C19" s="73"/>
      <c r="D19" s="73"/>
      <c r="E19" s="73"/>
      <c r="F19" s="73"/>
      <c r="H19" s="43"/>
      <c r="I19" s="74"/>
      <c r="J19" s="74"/>
      <c r="K19" s="74"/>
      <c r="L19" s="74"/>
      <c r="M19" s="74"/>
    </row>
    <row r="20" spans="1:17">
      <c r="A20" s="43"/>
      <c r="B20" s="73"/>
      <c r="C20" s="73"/>
      <c r="D20" s="73"/>
      <c r="E20" s="73"/>
      <c r="F20" s="73"/>
      <c r="H20" s="43"/>
      <c r="I20" s="74"/>
      <c r="J20" s="74"/>
      <c r="K20" s="74"/>
      <c r="L20" s="74"/>
      <c r="M20" s="74"/>
    </row>
    <row r="24" spans="1:17" ht="12.75" thickBot="1">
      <c r="A24" s="46"/>
      <c r="B24" s="10"/>
      <c r="C24" s="10"/>
      <c r="D24" s="10"/>
      <c r="E24" s="10"/>
      <c r="F24" s="10"/>
      <c r="G24" s="10"/>
      <c r="H24" s="10"/>
      <c r="I24" s="41"/>
      <c r="J24" s="41"/>
      <c r="K24" s="10"/>
      <c r="L24" s="10"/>
      <c r="M24" s="10"/>
      <c r="N24" s="10"/>
      <c r="O24" s="10"/>
      <c r="P24" s="10"/>
      <c r="Q24" s="10"/>
    </row>
    <row r="25" spans="1:17" ht="15.75" customHeight="1" thickBot="1">
      <c r="A25" s="157" t="s">
        <v>42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</row>
    <row r="26" spans="1:17" ht="36.75" customHeight="1" thickBot="1">
      <c r="A26" s="158" t="s">
        <v>36</v>
      </c>
      <c r="B26" s="160" t="s">
        <v>37</v>
      </c>
      <c r="C26" s="160"/>
      <c r="D26" s="160"/>
      <c r="E26" s="160"/>
      <c r="F26" s="160"/>
      <c r="G26" s="161" t="s">
        <v>86</v>
      </c>
      <c r="H26" s="161"/>
      <c r="I26" s="161"/>
      <c r="J26" s="161"/>
      <c r="K26" s="162" t="s">
        <v>88</v>
      </c>
      <c r="L26" s="162"/>
      <c r="M26" s="83" t="s">
        <v>91</v>
      </c>
      <c r="N26" s="163" t="s">
        <v>82</v>
      </c>
      <c r="O26" s="163"/>
      <c r="P26" s="163"/>
      <c r="Q26" s="163"/>
    </row>
    <row r="27" spans="1:17" ht="24.75" thickBot="1">
      <c r="A27" s="159"/>
      <c r="B27" s="44" t="s">
        <v>38</v>
      </c>
      <c r="C27" s="44" t="s">
        <v>87</v>
      </c>
      <c r="D27" s="44" t="s">
        <v>89</v>
      </c>
      <c r="E27" s="44" t="s">
        <v>90</v>
      </c>
      <c r="F27" s="44" t="s">
        <v>97</v>
      </c>
      <c r="G27" s="80" t="s">
        <v>99</v>
      </c>
      <c r="H27" s="80" t="s">
        <v>94</v>
      </c>
      <c r="I27" s="80" t="s">
        <v>95</v>
      </c>
      <c r="J27" s="80" t="s">
        <v>98</v>
      </c>
      <c r="K27" s="91" t="s">
        <v>96</v>
      </c>
      <c r="L27" s="91" t="s">
        <v>98</v>
      </c>
      <c r="M27" s="84" t="s">
        <v>92</v>
      </c>
      <c r="N27" s="88" t="s">
        <v>83</v>
      </c>
      <c r="O27" s="88" t="s">
        <v>84</v>
      </c>
      <c r="P27" s="88" t="s">
        <v>85</v>
      </c>
      <c r="Q27" s="88" t="s">
        <v>93</v>
      </c>
    </row>
    <row r="28" spans="1:17">
      <c r="A28" s="8" t="s">
        <v>11</v>
      </c>
      <c r="B28" s="50">
        <f>IF(B$3='Base Cenários'!A$3,'Base Cenários'!B7,(IF(B$3='Base Cenários'!A$14,'Base Cenários'!B18,'Base Cenários'!B29)))</f>
        <v>0</v>
      </c>
      <c r="C28" s="45">
        <f>B28*24*60*60*365</f>
        <v>0</v>
      </c>
      <c r="D28" s="76">
        <v>1</v>
      </c>
      <c r="E28" s="78">
        <v>1</v>
      </c>
      <c r="F28" s="92">
        <f>C$4</f>
        <v>0.15</v>
      </c>
      <c r="G28" s="81">
        <v>0.5</v>
      </c>
      <c r="H28" s="81">
        <f t="shared" ref="H28:H33" si="6">C28</f>
        <v>0</v>
      </c>
      <c r="I28" s="81">
        <v>0</v>
      </c>
      <c r="J28" s="95">
        <f>C$4</f>
        <v>0.15</v>
      </c>
      <c r="K28" s="47">
        <f>IF(B$3='Base Cenários'!A$3,'Base Cenários'!I7,(IF(B$3='Base Cenários'!A$14,'Base Cenários'!I18,'Base Cenários'!I29)))</f>
        <v>1018.8000000000001</v>
      </c>
      <c r="L28" s="47">
        <f>C$4</f>
        <v>0.15</v>
      </c>
      <c r="M28" s="85">
        <v>1</v>
      </c>
      <c r="N28" s="89">
        <f>C28*D28*E28*F28</f>
        <v>0</v>
      </c>
      <c r="O28" s="89">
        <f>IF(H28&gt;0,(H28-I28)*J28*(C28/H28)*G28,0)</f>
        <v>0</v>
      </c>
      <c r="P28" s="89">
        <f>K28*L28</f>
        <v>152.82</v>
      </c>
      <c r="Q28" s="89">
        <f>(N28+O28+P28)*M28</f>
        <v>152.82</v>
      </c>
    </row>
    <row r="29" spans="1:17">
      <c r="A29" s="8" t="s">
        <v>12</v>
      </c>
      <c r="B29" s="50">
        <f>IF(B$3='Base Cenários'!A$3,'Base Cenários'!B8,(IF(B$3='Base Cenários'!A$14,'Base Cenários'!B19,'Base Cenários'!B30)))</f>
        <v>2.5000000000000001E-3</v>
      </c>
      <c r="C29" s="45">
        <f t="shared" ref="C29:C33" si="7">B29*24*60*60*365</f>
        <v>78839.999999999985</v>
      </c>
      <c r="D29" s="76">
        <v>1</v>
      </c>
      <c r="E29" s="78">
        <v>1</v>
      </c>
      <c r="F29" s="92">
        <f t="shared" ref="F29:F33" si="8">C$4</f>
        <v>0.15</v>
      </c>
      <c r="G29" s="81">
        <v>0.5</v>
      </c>
      <c r="H29" s="81">
        <f t="shared" si="6"/>
        <v>78839.999999999985</v>
      </c>
      <c r="I29" s="81">
        <v>0</v>
      </c>
      <c r="J29" s="95">
        <f t="shared" ref="J29:J33" si="9">C$4</f>
        <v>0.15</v>
      </c>
      <c r="K29" s="47">
        <f>IF(B$3='Base Cenários'!A$3,'Base Cenários'!I8,(IF(B$3='Base Cenários'!A$14,'Base Cenários'!I19,'Base Cenários'!I30)))</f>
        <v>7171.2000000000007</v>
      </c>
      <c r="L29" s="47">
        <f t="shared" ref="L29:L33" si="10">C$4</f>
        <v>0.15</v>
      </c>
      <c r="M29" s="85">
        <v>1</v>
      </c>
      <c r="N29" s="89">
        <f>C29*D29*E29*F29</f>
        <v>11825.999999999998</v>
      </c>
      <c r="O29" s="89">
        <f t="shared" ref="O29:O33" si="11">IF(H29&gt;0,(H29-I29)*J29*(C29/H29)*G29,0)</f>
        <v>5912.9999999999991</v>
      </c>
      <c r="P29" s="89">
        <f t="shared" ref="P29:P33" si="12">K29*L29</f>
        <v>1075.68</v>
      </c>
      <c r="Q29" s="89">
        <f t="shared" ref="Q29:Q33" si="13">(N29+O29+P29)*M29</f>
        <v>18814.679999999997</v>
      </c>
    </row>
    <row r="30" spans="1:17">
      <c r="A30" s="8" t="s">
        <v>13</v>
      </c>
      <c r="B30" s="50">
        <f>IF(B$3='Base Cenários'!A$3,'Base Cenários'!B9,(IF(B$3='Base Cenários'!A$14,'Base Cenários'!B20,'Base Cenários'!B31)))</f>
        <v>2.0000000000000001E-4</v>
      </c>
      <c r="C30" s="45">
        <f t="shared" si="7"/>
        <v>6307.2000000000007</v>
      </c>
      <c r="D30" s="76">
        <v>1</v>
      </c>
      <c r="E30" s="78">
        <v>0.85</v>
      </c>
      <c r="F30" s="92">
        <f t="shared" si="8"/>
        <v>0.15</v>
      </c>
      <c r="G30" s="81">
        <v>0.5</v>
      </c>
      <c r="H30" s="81">
        <f t="shared" si="6"/>
        <v>6307.2000000000007</v>
      </c>
      <c r="I30" s="81">
        <v>0</v>
      </c>
      <c r="J30" s="95">
        <f t="shared" si="9"/>
        <v>0.15</v>
      </c>
      <c r="K30" s="47">
        <f>IF(B$3='Base Cenários'!A$3,'Base Cenários'!I9,(IF(B$3='Base Cenários'!A$14,'Base Cenários'!I20,'Base Cenários'!I31)))</f>
        <v>2707.2</v>
      </c>
      <c r="L30" s="47">
        <f t="shared" si="10"/>
        <v>0.15</v>
      </c>
      <c r="M30" s="85">
        <v>1</v>
      </c>
      <c r="N30" s="89">
        <f t="shared" ref="N30:N33" si="14">C30*D30*E30*F30</f>
        <v>804.16800000000012</v>
      </c>
      <c r="O30" s="89">
        <f t="shared" si="11"/>
        <v>473.04</v>
      </c>
      <c r="P30" s="89">
        <f t="shared" si="12"/>
        <v>406.08</v>
      </c>
      <c r="Q30" s="89">
        <f t="shared" si="13"/>
        <v>1683.288</v>
      </c>
    </row>
    <row r="31" spans="1:17">
      <c r="A31" s="8" t="s">
        <v>14</v>
      </c>
      <c r="B31" s="50">
        <f>IF(B$3='Base Cenários'!A$3,'Base Cenários'!B10,(IF(B$3='Base Cenários'!A$14,'Base Cenários'!B21,'Base Cenários'!B32)))</f>
        <v>1.1142000000000001</v>
      </c>
      <c r="C31" s="45">
        <f t="shared" si="7"/>
        <v>35137411.200000003</v>
      </c>
      <c r="D31" s="76">
        <v>1</v>
      </c>
      <c r="E31" s="78">
        <v>0.95</v>
      </c>
      <c r="F31" s="92">
        <f t="shared" si="8"/>
        <v>0.15</v>
      </c>
      <c r="G31" s="81">
        <v>0.5</v>
      </c>
      <c r="H31" s="81">
        <f t="shared" si="6"/>
        <v>35137411.200000003</v>
      </c>
      <c r="I31" s="81">
        <v>0</v>
      </c>
      <c r="J31" s="95">
        <f t="shared" si="9"/>
        <v>0.15</v>
      </c>
      <c r="K31" s="47">
        <f>IF(B$3='Base Cenários'!A$3,'Base Cenários'!I10,(IF(B$3='Base Cenários'!A$14,'Base Cenários'!I21,'Base Cenários'!I32)))</f>
        <v>1461859.2</v>
      </c>
      <c r="L31" s="47">
        <f t="shared" si="10"/>
        <v>0.15</v>
      </c>
      <c r="M31" s="85">
        <v>1</v>
      </c>
      <c r="N31" s="89">
        <f t="shared" si="14"/>
        <v>5007081.0959999999</v>
      </c>
      <c r="O31" s="89">
        <f t="shared" si="11"/>
        <v>2635305.8400000003</v>
      </c>
      <c r="P31" s="89">
        <f t="shared" si="12"/>
        <v>219278.87999999998</v>
      </c>
      <c r="Q31" s="89">
        <f t="shared" si="13"/>
        <v>7861665.8160000006</v>
      </c>
    </row>
    <row r="32" spans="1:17">
      <c r="A32" s="8" t="s">
        <v>15</v>
      </c>
      <c r="B32" s="50">
        <f>IF(B$3='Base Cenários'!A$3,'Base Cenários'!B11,(IF(B$3='Base Cenários'!A$14,'Base Cenários'!B22,'Base Cenários'!B33)))</f>
        <v>1.2699999999999999E-2</v>
      </c>
      <c r="C32" s="45">
        <f t="shared" si="7"/>
        <v>400507.1999999999</v>
      </c>
      <c r="D32" s="76">
        <v>1</v>
      </c>
      <c r="E32" s="78">
        <v>0.9</v>
      </c>
      <c r="F32" s="92">
        <f t="shared" si="8"/>
        <v>0.15</v>
      </c>
      <c r="G32" s="81">
        <v>0.5</v>
      </c>
      <c r="H32" s="81">
        <f t="shared" si="6"/>
        <v>400507.1999999999</v>
      </c>
      <c r="I32" s="81">
        <v>0</v>
      </c>
      <c r="J32" s="95">
        <f t="shared" si="9"/>
        <v>0.15</v>
      </c>
      <c r="K32" s="47">
        <f>IF(B$3='Base Cenários'!A$3,'Base Cenários'!I11,(IF(B$3='Base Cenários'!A$14,'Base Cenários'!I22,'Base Cenários'!I33)))</f>
        <v>26064.000000000004</v>
      </c>
      <c r="L32" s="47">
        <f t="shared" si="10"/>
        <v>0.15</v>
      </c>
      <c r="M32" s="85">
        <v>1</v>
      </c>
      <c r="N32" s="89">
        <f t="shared" si="14"/>
        <v>54068.471999999987</v>
      </c>
      <c r="O32" s="89">
        <f t="shared" si="11"/>
        <v>30038.03999999999</v>
      </c>
      <c r="P32" s="89">
        <f t="shared" si="12"/>
        <v>3909.6000000000004</v>
      </c>
      <c r="Q32" s="89">
        <f t="shared" si="13"/>
        <v>88016.111999999979</v>
      </c>
    </row>
    <row r="33" spans="1:17" ht="12.75" thickBot="1">
      <c r="A33" s="10" t="s">
        <v>16</v>
      </c>
      <c r="B33" s="51">
        <f>IF(B$3='Base Cenários'!A$3,'Base Cenários'!B12,(IF(B$3='Base Cenários'!A$14,'Base Cenários'!B23,'Base Cenários'!B34)))</f>
        <v>0.46760000000000002</v>
      </c>
      <c r="C33" s="51">
        <f t="shared" si="7"/>
        <v>14746233.6</v>
      </c>
      <c r="D33" s="77">
        <v>1</v>
      </c>
      <c r="E33" s="79">
        <v>1</v>
      </c>
      <c r="F33" s="93">
        <f t="shared" si="8"/>
        <v>0.15</v>
      </c>
      <c r="G33" s="82">
        <v>0.5</v>
      </c>
      <c r="H33" s="82">
        <f t="shared" si="6"/>
        <v>14746233.6</v>
      </c>
      <c r="I33" s="82">
        <v>0</v>
      </c>
      <c r="J33" s="96">
        <f t="shared" si="9"/>
        <v>0.15</v>
      </c>
      <c r="K33" s="48">
        <f>IF(B$3='Base Cenários'!A$3,'Base Cenários'!I12,(IF(B$3='Base Cenários'!A$14,'Base Cenários'!I23,'Base Cenários'!I34)))</f>
        <v>222080.4</v>
      </c>
      <c r="L33" s="48">
        <f t="shared" si="10"/>
        <v>0.15</v>
      </c>
      <c r="M33" s="86">
        <v>1</v>
      </c>
      <c r="N33" s="90">
        <f t="shared" si="14"/>
        <v>2211935.04</v>
      </c>
      <c r="O33" s="90">
        <f t="shared" si="11"/>
        <v>1105967.52</v>
      </c>
      <c r="P33" s="90">
        <f t="shared" si="12"/>
        <v>33312.06</v>
      </c>
      <c r="Q33" s="90">
        <f t="shared" si="13"/>
        <v>3351214.62</v>
      </c>
    </row>
    <row r="34" spans="1:17" ht="12.75" thickBot="1">
      <c r="I34" s="8"/>
      <c r="M34" s="42"/>
      <c r="P34" s="46" t="s">
        <v>40</v>
      </c>
      <c r="Q34" s="94">
        <f>SUM(Q28:Q33)</f>
        <v>11321547.335999999</v>
      </c>
    </row>
    <row r="35" spans="1:17">
      <c r="I35" s="8"/>
      <c r="M35" s="42"/>
      <c r="P35" s="43"/>
      <c r="Q35" s="73"/>
    </row>
    <row r="36" spans="1:17">
      <c r="I36" s="8"/>
      <c r="M36" s="42"/>
      <c r="P36" s="43"/>
      <c r="Q36" s="73"/>
    </row>
    <row r="37" spans="1:17">
      <c r="I37" s="8"/>
      <c r="M37" s="42"/>
      <c r="P37" s="43"/>
      <c r="Q37" s="73"/>
    </row>
    <row r="38" spans="1:17" ht="12.75" thickBot="1">
      <c r="A38" s="10"/>
      <c r="B38" s="10"/>
      <c r="C38" s="10"/>
      <c r="D38" s="10"/>
      <c r="E38" s="10"/>
      <c r="F38" s="10"/>
      <c r="G38" s="10"/>
      <c r="H38" s="10"/>
      <c r="I38" s="10"/>
      <c r="J38" s="41"/>
      <c r="K38" s="10"/>
      <c r="L38" s="10"/>
      <c r="M38" s="41"/>
    </row>
    <row r="39" spans="1:17" ht="15.75" customHeight="1" thickBot="1">
      <c r="A39" s="157" t="s">
        <v>43</v>
      </c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</row>
    <row r="40" spans="1:17" ht="15.75" customHeight="1" thickBot="1">
      <c r="A40" s="158" t="s">
        <v>36</v>
      </c>
      <c r="B40" s="160" t="s">
        <v>37</v>
      </c>
      <c r="C40" s="160"/>
      <c r="D40" s="160"/>
      <c r="E40" s="160"/>
      <c r="F40" s="161" t="s">
        <v>86</v>
      </c>
      <c r="G40" s="161"/>
      <c r="H40" s="161"/>
      <c r="I40" s="83" t="s">
        <v>91</v>
      </c>
      <c r="J40" s="97" t="s">
        <v>101</v>
      </c>
      <c r="K40" s="163" t="s">
        <v>82</v>
      </c>
      <c r="L40" s="163"/>
      <c r="M40" s="163"/>
    </row>
    <row r="41" spans="1:17" ht="12.75" thickBot="1">
      <c r="A41" s="159"/>
      <c r="B41" s="44" t="s">
        <v>38</v>
      </c>
      <c r="C41" s="44" t="s">
        <v>87</v>
      </c>
      <c r="D41" s="44" t="s">
        <v>89</v>
      </c>
      <c r="E41" s="44" t="s">
        <v>97</v>
      </c>
      <c r="F41" s="80" t="s">
        <v>94</v>
      </c>
      <c r="G41" s="80" t="s">
        <v>95</v>
      </c>
      <c r="H41" s="80" t="s">
        <v>98</v>
      </c>
      <c r="I41" s="84" t="s">
        <v>92</v>
      </c>
      <c r="J41" s="87" t="s">
        <v>102</v>
      </c>
      <c r="K41" s="88" t="s">
        <v>83</v>
      </c>
      <c r="L41" s="88" t="s">
        <v>84</v>
      </c>
      <c r="M41" s="88" t="s">
        <v>93</v>
      </c>
    </row>
    <row r="42" spans="1:17">
      <c r="A42" s="8" t="s">
        <v>11</v>
      </c>
      <c r="B42" s="50">
        <f>IF(B$3='Base Cenários'!A$3,'Base Cenários'!C7,(IF(B$3='Base Cenários'!A$14,'Base Cenários'!C18,'Base Cenários'!C29)))</f>
        <v>0</v>
      </c>
      <c r="C42" s="45">
        <f>B42*24*60*60*365</f>
        <v>0</v>
      </c>
      <c r="D42" s="76">
        <v>1</v>
      </c>
      <c r="E42" s="92">
        <f>C$4</f>
        <v>0.15</v>
      </c>
      <c r="F42" s="81">
        <f t="shared" ref="F42:F47" si="15">C42</f>
        <v>0</v>
      </c>
      <c r="G42" s="81">
        <v>0</v>
      </c>
      <c r="H42" s="95">
        <f>C$4</f>
        <v>0.15</v>
      </c>
      <c r="I42" s="85">
        <v>1</v>
      </c>
      <c r="J42" s="98">
        <v>0.1</v>
      </c>
      <c r="K42" s="89">
        <f t="shared" ref="K42:K47" si="16">C42*D42*E42</f>
        <v>0</v>
      </c>
      <c r="L42" s="89">
        <f t="shared" ref="L42:L47" si="17">IF(F42&gt;0,(F42-G42)*H42*(C42/F42),0)</f>
        <v>0</v>
      </c>
      <c r="M42" s="89">
        <f>(K42+L42)*I42*J42</f>
        <v>0</v>
      </c>
    </row>
    <row r="43" spans="1:17">
      <c r="A43" s="8" t="s">
        <v>12</v>
      </c>
      <c r="B43" s="50">
        <f>IF(B$3='Base Cenários'!A$3,'Base Cenários'!C8,(IF(B$3='Base Cenários'!A$14,'Base Cenários'!C19,'Base Cenários'!C30)))</f>
        <v>0</v>
      </c>
      <c r="C43" s="45">
        <f t="shared" ref="C43:C47" si="18">B43*24*60*60*365</f>
        <v>0</v>
      </c>
      <c r="D43" s="76">
        <v>1</v>
      </c>
      <c r="E43" s="92">
        <f t="shared" ref="E43:E47" si="19">C$4</f>
        <v>0.15</v>
      </c>
      <c r="F43" s="81">
        <f t="shared" si="15"/>
        <v>0</v>
      </c>
      <c r="G43" s="81">
        <v>0</v>
      </c>
      <c r="H43" s="95">
        <f t="shared" ref="H43:H47" si="20">C$4</f>
        <v>0.15</v>
      </c>
      <c r="I43" s="85">
        <v>1</v>
      </c>
      <c r="J43" s="98">
        <v>0.1</v>
      </c>
      <c r="K43" s="89">
        <f t="shared" si="16"/>
        <v>0</v>
      </c>
      <c r="L43" s="89">
        <f t="shared" si="17"/>
        <v>0</v>
      </c>
      <c r="M43" s="89">
        <f t="shared" ref="M43:M47" si="21">(K43+L43)*I43*J43</f>
        <v>0</v>
      </c>
    </row>
    <row r="44" spans="1:17">
      <c r="A44" s="8" t="s">
        <v>13</v>
      </c>
      <c r="B44" s="50">
        <f>IF(B$3='Base Cenários'!A$3,'Base Cenários'!C9,(IF(B$3='Base Cenários'!A$14,'Base Cenários'!C20,'Base Cenários'!C31)))</f>
        <v>0</v>
      </c>
      <c r="C44" s="45">
        <f t="shared" si="18"/>
        <v>0</v>
      </c>
      <c r="D44" s="76">
        <v>1</v>
      </c>
      <c r="E44" s="92">
        <f t="shared" si="19"/>
        <v>0.15</v>
      </c>
      <c r="F44" s="81">
        <f t="shared" si="15"/>
        <v>0</v>
      </c>
      <c r="G44" s="81">
        <v>0</v>
      </c>
      <c r="H44" s="95">
        <f t="shared" si="20"/>
        <v>0.15</v>
      </c>
      <c r="I44" s="85">
        <v>1</v>
      </c>
      <c r="J44" s="98">
        <v>0.1</v>
      </c>
      <c r="K44" s="89">
        <f t="shared" si="16"/>
        <v>0</v>
      </c>
      <c r="L44" s="89">
        <f t="shared" si="17"/>
        <v>0</v>
      </c>
      <c r="M44" s="89">
        <f t="shared" si="21"/>
        <v>0</v>
      </c>
    </row>
    <row r="45" spans="1:17">
      <c r="A45" s="8" t="s">
        <v>14</v>
      </c>
      <c r="B45" s="50">
        <f>IF(B$3='Base Cenários'!A$3,'Base Cenários'!C10,(IF(B$3='Base Cenários'!A$14,'Base Cenários'!C21,'Base Cenários'!C32)))</f>
        <v>0</v>
      </c>
      <c r="C45" s="45">
        <f t="shared" si="18"/>
        <v>0</v>
      </c>
      <c r="D45" s="76">
        <v>1</v>
      </c>
      <c r="E45" s="92">
        <f t="shared" si="19"/>
        <v>0.15</v>
      </c>
      <c r="F45" s="81">
        <f t="shared" si="15"/>
        <v>0</v>
      </c>
      <c r="G45" s="81">
        <v>0</v>
      </c>
      <c r="H45" s="95">
        <f t="shared" si="20"/>
        <v>0.15</v>
      </c>
      <c r="I45" s="85">
        <v>1</v>
      </c>
      <c r="J45" s="98">
        <v>0.1</v>
      </c>
      <c r="K45" s="89">
        <f t="shared" si="16"/>
        <v>0</v>
      </c>
      <c r="L45" s="89">
        <f t="shared" si="17"/>
        <v>0</v>
      </c>
      <c r="M45" s="89">
        <f t="shared" si="21"/>
        <v>0</v>
      </c>
    </row>
    <row r="46" spans="1:17">
      <c r="A46" s="8" t="s">
        <v>15</v>
      </c>
      <c r="B46" s="50">
        <f>IF(B$3='Base Cenários'!A$3,'Base Cenários'!C11,(IF(B$3='Base Cenários'!A$14,'Base Cenários'!C22,'Base Cenários'!C33)))</f>
        <v>0.32585412480974124</v>
      </c>
      <c r="C46" s="45">
        <f t="shared" si="18"/>
        <v>10276135.679999998</v>
      </c>
      <c r="D46" s="76">
        <v>1</v>
      </c>
      <c r="E46" s="92">
        <f t="shared" si="19"/>
        <v>0.15</v>
      </c>
      <c r="F46" s="81">
        <f t="shared" si="15"/>
        <v>10276135.679999998</v>
      </c>
      <c r="G46" s="81">
        <v>0</v>
      </c>
      <c r="H46" s="95">
        <f t="shared" si="20"/>
        <v>0.15</v>
      </c>
      <c r="I46" s="85">
        <v>1</v>
      </c>
      <c r="J46" s="98">
        <v>0.1</v>
      </c>
      <c r="K46" s="89">
        <f t="shared" si="16"/>
        <v>1541420.3519999997</v>
      </c>
      <c r="L46" s="89">
        <f t="shared" si="17"/>
        <v>1541420.3519999997</v>
      </c>
      <c r="M46" s="89">
        <f t="shared" si="21"/>
        <v>308284.07039999997</v>
      </c>
    </row>
    <row r="47" spans="1:17" ht="12.75" thickBot="1">
      <c r="A47" s="10" t="s">
        <v>16</v>
      </c>
      <c r="B47" s="51">
        <f>IF(B$3='Base Cenários'!A$3,'Base Cenários'!C12,(IF(B$3='Base Cenários'!A$14,'Base Cenários'!C23,'Base Cenários'!C34)))</f>
        <v>0</v>
      </c>
      <c r="C47" s="51">
        <f t="shared" si="18"/>
        <v>0</v>
      </c>
      <c r="D47" s="77">
        <v>1</v>
      </c>
      <c r="E47" s="93">
        <f t="shared" si="19"/>
        <v>0.15</v>
      </c>
      <c r="F47" s="82">
        <f t="shared" si="15"/>
        <v>0</v>
      </c>
      <c r="G47" s="82">
        <v>0</v>
      </c>
      <c r="H47" s="96">
        <f t="shared" si="20"/>
        <v>0.15</v>
      </c>
      <c r="I47" s="86">
        <v>1</v>
      </c>
      <c r="J47" s="99">
        <v>0.1</v>
      </c>
      <c r="K47" s="90">
        <f t="shared" si="16"/>
        <v>0</v>
      </c>
      <c r="L47" s="90">
        <f t="shared" si="17"/>
        <v>0</v>
      </c>
      <c r="M47" s="90">
        <f t="shared" si="21"/>
        <v>0</v>
      </c>
    </row>
    <row r="48" spans="1:17" ht="12.75" thickBot="1">
      <c r="L48" s="46" t="s">
        <v>40</v>
      </c>
      <c r="M48" s="94">
        <f>SUM(M42:M47)</f>
        <v>308284.07039999997</v>
      </c>
    </row>
    <row r="50" spans="1:15" ht="12.75" thickBot="1">
      <c r="A50" s="10"/>
      <c r="B50" s="10"/>
      <c r="C50" s="10"/>
      <c r="D50" s="10"/>
      <c r="E50" s="10"/>
      <c r="F50" s="10"/>
      <c r="G50" s="10"/>
      <c r="H50" s="10"/>
      <c r="I50" s="41"/>
      <c r="J50" s="41"/>
      <c r="K50" s="10"/>
      <c r="L50" s="10"/>
      <c r="M50" s="10"/>
      <c r="N50" s="10"/>
      <c r="O50" s="10"/>
    </row>
    <row r="51" spans="1:15" ht="15.75" customHeight="1" thickBot="1">
      <c r="A51" s="165" t="s">
        <v>3</v>
      </c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</row>
    <row r="52" spans="1:15" ht="15.75" customHeight="1" thickBot="1">
      <c r="A52" s="158" t="s">
        <v>36</v>
      </c>
      <c r="B52" s="75" t="s">
        <v>37</v>
      </c>
      <c r="C52" s="75"/>
      <c r="D52" s="75"/>
      <c r="E52" s="75"/>
      <c r="F52" s="164" t="s">
        <v>86</v>
      </c>
      <c r="G52" s="164"/>
      <c r="H52" s="164"/>
      <c r="I52" s="162" t="s">
        <v>88</v>
      </c>
      <c r="J52" s="162"/>
      <c r="K52" s="83" t="s">
        <v>91</v>
      </c>
      <c r="L52" s="163" t="s">
        <v>82</v>
      </c>
      <c r="M52" s="163"/>
      <c r="N52" s="163"/>
      <c r="O52" s="163"/>
    </row>
    <row r="53" spans="1:15" ht="12.75" thickBot="1">
      <c r="A53" s="159"/>
      <c r="B53" s="44" t="s">
        <v>38</v>
      </c>
      <c r="C53" s="44" t="s">
        <v>87</v>
      </c>
      <c r="D53" s="44" t="s">
        <v>89</v>
      </c>
      <c r="E53" s="44" t="s">
        <v>97</v>
      </c>
      <c r="F53" s="80" t="s">
        <v>94</v>
      </c>
      <c r="G53" s="80" t="s">
        <v>95</v>
      </c>
      <c r="H53" s="80" t="s">
        <v>98</v>
      </c>
      <c r="I53" s="91" t="s">
        <v>96</v>
      </c>
      <c r="J53" s="91" t="s">
        <v>98</v>
      </c>
      <c r="K53" s="84" t="s">
        <v>92</v>
      </c>
      <c r="L53" s="88" t="s">
        <v>83</v>
      </c>
      <c r="M53" s="88" t="s">
        <v>84</v>
      </c>
      <c r="N53" s="88" t="s">
        <v>85</v>
      </c>
      <c r="O53" s="88" t="s">
        <v>93</v>
      </c>
    </row>
    <row r="54" spans="1:15">
      <c r="A54" s="8" t="s">
        <v>11</v>
      </c>
      <c r="B54" s="50">
        <f>IF(B$3='Base Cenários'!A$3,'Base Cenários'!D7,(IF(B$3='Base Cenários'!A$14,'Base Cenários'!D18,'Base Cenários'!D29)))</f>
        <v>0</v>
      </c>
      <c r="C54" s="45">
        <f>B54*24*60*60*365</f>
        <v>0</v>
      </c>
      <c r="D54" s="76">
        <v>1</v>
      </c>
      <c r="E54" s="92">
        <f>C$4</f>
        <v>0.15</v>
      </c>
      <c r="F54" s="81">
        <f t="shared" ref="F54:F59" si="22">C54</f>
        <v>0</v>
      </c>
      <c r="G54" s="81">
        <v>0</v>
      </c>
      <c r="H54" s="95">
        <f>C$4</f>
        <v>0.15</v>
      </c>
      <c r="I54" s="47">
        <f>IF(B$3='Base Cenários'!A$3,'Base Cenários'!J7,(IF(B$3='Base Cenários'!A$14,'Base Cenários'!J18,'Base Cenários'!J29)))</f>
        <v>763.2</v>
      </c>
      <c r="J54" s="47">
        <f>C$4</f>
        <v>0.15</v>
      </c>
      <c r="K54" s="85">
        <v>1</v>
      </c>
      <c r="L54" s="89">
        <f>C54*D54*E54</f>
        <v>0</v>
      </c>
      <c r="M54" s="89">
        <f>IF(F54&gt;0,(F54-G54)*H54*(C54/F54),0)</f>
        <v>0</v>
      </c>
      <c r="N54" s="89">
        <f>I54*J54</f>
        <v>114.48</v>
      </c>
      <c r="O54" s="89">
        <f>(L54+M54+N54)*K54</f>
        <v>114.48</v>
      </c>
    </row>
    <row r="55" spans="1:15">
      <c r="A55" s="8" t="s">
        <v>12</v>
      </c>
      <c r="B55" s="50">
        <f>IF(B$3='Base Cenários'!A$3,'Base Cenários'!D8,(IF(B$3='Base Cenários'!A$14,'Base Cenários'!D19,'Base Cenários'!D30)))</f>
        <v>0</v>
      </c>
      <c r="C55" s="45">
        <f t="shared" ref="C55:C59" si="23">B55*24*60*60*365</f>
        <v>0</v>
      </c>
      <c r="D55" s="76">
        <v>1</v>
      </c>
      <c r="E55" s="92">
        <f t="shared" ref="E55:E59" si="24">C$4</f>
        <v>0.15</v>
      </c>
      <c r="F55" s="81">
        <f t="shared" si="22"/>
        <v>0</v>
      </c>
      <c r="G55" s="81">
        <v>0</v>
      </c>
      <c r="H55" s="95">
        <f t="shared" ref="H55:H59" si="25">C$4</f>
        <v>0.15</v>
      </c>
      <c r="I55" s="47">
        <f>IF(B$3='Base Cenários'!A$3,'Base Cenários'!J8,(IF(B$3='Base Cenários'!A$14,'Base Cenários'!J19,'Base Cenários'!J30)))</f>
        <v>0</v>
      </c>
      <c r="J55" s="47">
        <f t="shared" ref="J55:J59" si="26">C$4</f>
        <v>0.15</v>
      </c>
      <c r="K55" s="85">
        <v>1</v>
      </c>
      <c r="L55" s="89">
        <f t="shared" ref="L55:L59" si="27">C55*D55*E55</f>
        <v>0</v>
      </c>
      <c r="M55" s="89">
        <f t="shared" ref="M55:M59" si="28">IF(F55&gt;0,(F55-G55)*H55*(C55/F55),0)</f>
        <v>0</v>
      </c>
      <c r="N55" s="89">
        <f t="shared" ref="N55:N59" si="29">I55*J55</f>
        <v>0</v>
      </c>
      <c r="O55" s="89">
        <f t="shared" ref="O55:O59" si="30">(L55+M55+N55)*K55</f>
        <v>0</v>
      </c>
    </row>
    <row r="56" spans="1:15">
      <c r="A56" s="8" t="s">
        <v>13</v>
      </c>
      <c r="B56" s="50">
        <f>IF(B$3='Base Cenários'!A$3,'Base Cenários'!D9,(IF(B$3='Base Cenários'!A$14,'Base Cenários'!D20,'Base Cenários'!D31)))</f>
        <v>0</v>
      </c>
      <c r="C56" s="45">
        <f t="shared" si="23"/>
        <v>0</v>
      </c>
      <c r="D56" s="76">
        <v>1</v>
      </c>
      <c r="E56" s="92">
        <f t="shared" si="24"/>
        <v>0.15</v>
      </c>
      <c r="F56" s="81">
        <f t="shared" si="22"/>
        <v>0</v>
      </c>
      <c r="G56" s="81">
        <v>0</v>
      </c>
      <c r="H56" s="95">
        <f t="shared" si="25"/>
        <v>0.15</v>
      </c>
      <c r="I56" s="47">
        <f>IF(B$3='Base Cenários'!A$3,'Base Cenários'!J9,(IF(B$3='Base Cenários'!A$14,'Base Cenários'!J20,'Base Cenários'!J31)))</f>
        <v>0</v>
      </c>
      <c r="J56" s="47">
        <f t="shared" si="26"/>
        <v>0.15</v>
      </c>
      <c r="K56" s="85">
        <v>1</v>
      </c>
      <c r="L56" s="89">
        <f t="shared" si="27"/>
        <v>0</v>
      </c>
      <c r="M56" s="89">
        <f t="shared" si="28"/>
        <v>0</v>
      </c>
      <c r="N56" s="89">
        <f t="shared" si="29"/>
        <v>0</v>
      </c>
      <c r="O56" s="89">
        <f t="shared" si="30"/>
        <v>0</v>
      </c>
    </row>
    <row r="57" spans="1:15">
      <c r="A57" s="8" t="s">
        <v>14</v>
      </c>
      <c r="B57" s="50">
        <f>IF(B$3='Base Cenários'!A$3,'Base Cenários'!D10,(IF(B$3='Base Cenários'!A$14,'Base Cenários'!D21,'Base Cenários'!D32)))</f>
        <v>0.74039999999999995</v>
      </c>
      <c r="C57" s="45">
        <f t="shared" si="23"/>
        <v>23349254.399999999</v>
      </c>
      <c r="D57" s="76">
        <v>1</v>
      </c>
      <c r="E57" s="92">
        <f t="shared" si="24"/>
        <v>0.15</v>
      </c>
      <c r="F57" s="81">
        <f t="shared" si="22"/>
        <v>23349254.399999999</v>
      </c>
      <c r="G57" s="81">
        <v>0</v>
      </c>
      <c r="H57" s="95">
        <f t="shared" si="25"/>
        <v>0.15</v>
      </c>
      <c r="I57" s="47">
        <f>IF(B$3='Base Cenários'!A$3,'Base Cenários'!J10,(IF(B$3='Base Cenários'!A$14,'Base Cenários'!J21,'Base Cenários'!J32)))</f>
        <v>43797.599999999999</v>
      </c>
      <c r="J57" s="47">
        <f t="shared" si="26"/>
        <v>0.15</v>
      </c>
      <c r="K57" s="85">
        <v>1</v>
      </c>
      <c r="L57" s="89">
        <f t="shared" si="27"/>
        <v>3502388.1599999997</v>
      </c>
      <c r="M57" s="89">
        <f t="shared" si="28"/>
        <v>3502388.1599999997</v>
      </c>
      <c r="N57" s="89">
        <f t="shared" si="29"/>
        <v>6569.6399999999994</v>
      </c>
      <c r="O57" s="89">
        <f t="shared" si="30"/>
        <v>7011345.959999999</v>
      </c>
    </row>
    <row r="58" spans="1:15">
      <c r="A58" s="8" t="s">
        <v>15</v>
      </c>
      <c r="B58" s="50">
        <f>IF(B$3='Base Cenários'!A$3,'Base Cenários'!D11,(IF(B$3='Base Cenários'!A$14,'Base Cenários'!D22,'Base Cenários'!D33)))</f>
        <v>0</v>
      </c>
      <c r="C58" s="45">
        <f t="shared" si="23"/>
        <v>0</v>
      </c>
      <c r="D58" s="76">
        <v>1</v>
      </c>
      <c r="E58" s="92">
        <f t="shared" si="24"/>
        <v>0.15</v>
      </c>
      <c r="F58" s="81">
        <f t="shared" si="22"/>
        <v>0</v>
      </c>
      <c r="G58" s="81">
        <v>0</v>
      </c>
      <c r="H58" s="95">
        <f t="shared" si="25"/>
        <v>0.15</v>
      </c>
      <c r="I58" s="47">
        <f>IF(B$3='Base Cenários'!A$3,'Base Cenários'!J11,(IF(B$3='Base Cenários'!A$14,'Base Cenários'!J22,'Base Cenários'!J33)))</f>
        <v>385.20000000000005</v>
      </c>
      <c r="J58" s="47">
        <f t="shared" si="26"/>
        <v>0.15</v>
      </c>
      <c r="K58" s="85">
        <v>1</v>
      </c>
      <c r="L58" s="89">
        <f t="shared" si="27"/>
        <v>0</v>
      </c>
      <c r="M58" s="89">
        <f t="shared" si="28"/>
        <v>0</v>
      </c>
      <c r="N58" s="89">
        <f t="shared" si="29"/>
        <v>57.78</v>
      </c>
      <c r="O58" s="89">
        <f t="shared" si="30"/>
        <v>57.78</v>
      </c>
    </row>
    <row r="59" spans="1:15" ht="12.75" thickBot="1">
      <c r="A59" s="10" t="s">
        <v>16</v>
      </c>
      <c r="B59" s="51">
        <f>IF(B$3='Base Cenários'!A$3,'Base Cenários'!D12,(IF(B$3='Base Cenários'!A$14,'Base Cenários'!D23,'Base Cenários'!D34)))</f>
        <v>5.9999999999999995E-4</v>
      </c>
      <c r="C59" s="51">
        <f t="shared" si="23"/>
        <v>18921.599999999999</v>
      </c>
      <c r="D59" s="77">
        <v>1</v>
      </c>
      <c r="E59" s="93">
        <f t="shared" si="24"/>
        <v>0.15</v>
      </c>
      <c r="F59" s="82">
        <f t="shared" si="22"/>
        <v>18921.599999999999</v>
      </c>
      <c r="G59" s="82">
        <v>0</v>
      </c>
      <c r="H59" s="96">
        <f t="shared" si="25"/>
        <v>0.15</v>
      </c>
      <c r="I59" s="48">
        <f>IF(B$3='Base Cenários'!A$3,'Base Cenários'!J12,(IF(B$3='Base Cenários'!A$14,'Base Cenários'!J23,'Base Cenários'!J34)))</f>
        <v>10501.2</v>
      </c>
      <c r="J59" s="48">
        <f t="shared" si="26"/>
        <v>0.15</v>
      </c>
      <c r="K59" s="86">
        <v>1</v>
      </c>
      <c r="L59" s="90">
        <f t="shared" si="27"/>
        <v>2838.24</v>
      </c>
      <c r="M59" s="90">
        <f t="shared" si="28"/>
        <v>2838.24</v>
      </c>
      <c r="N59" s="90">
        <f t="shared" si="29"/>
        <v>1575.18</v>
      </c>
      <c r="O59" s="90">
        <f t="shared" si="30"/>
        <v>7251.66</v>
      </c>
    </row>
    <row r="60" spans="1:15" ht="12.75" thickBot="1">
      <c r="N60" s="46" t="s">
        <v>40</v>
      </c>
      <c r="O60" s="94">
        <f>SUM(O54:O59)</f>
        <v>7018769.8799999999</v>
      </c>
    </row>
    <row r="62" spans="1:15" ht="12.75" thickBot="1">
      <c r="A62" s="10"/>
      <c r="B62" s="10"/>
      <c r="C62" s="10"/>
      <c r="D62" s="10"/>
      <c r="E62" s="10"/>
      <c r="F62" s="10"/>
      <c r="G62" s="10"/>
      <c r="H62" s="10"/>
      <c r="I62" s="41"/>
      <c r="J62" s="41"/>
      <c r="K62" s="10"/>
      <c r="L62" s="10"/>
    </row>
    <row r="63" spans="1:15" ht="15.75" customHeight="1" thickBot="1">
      <c r="A63" s="165" t="s">
        <v>4</v>
      </c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</row>
    <row r="64" spans="1:15" ht="15.75" customHeight="1" thickBot="1">
      <c r="A64" s="158" t="s">
        <v>36</v>
      </c>
      <c r="B64" s="160" t="s">
        <v>37</v>
      </c>
      <c r="C64" s="160"/>
      <c r="D64" s="160"/>
      <c r="E64" s="160"/>
      <c r="F64" s="164" t="s">
        <v>86</v>
      </c>
      <c r="G64" s="164"/>
      <c r="H64" s="83" t="s">
        <v>91</v>
      </c>
      <c r="I64" s="97" t="s">
        <v>101</v>
      </c>
      <c r="J64" s="163" t="s">
        <v>82</v>
      </c>
      <c r="K64" s="163"/>
      <c r="L64" s="163"/>
    </row>
    <row r="65" spans="1:15" ht="12.75" thickBot="1">
      <c r="A65" s="159"/>
      <c r="B65" s="44" t="s">
        <v>38</v>
      </c>
      <c r="C65" s="44" t="s">
        <v>87</v>
      </c>
      <c r="D65" s="44" t="s">
        <v>89</v>
      </c>
      <c r="E65" s="44" t="s">
        <v>97</v>
      </c>
      <c r="F65" s="80" t="s">
        <v>99</v>
      </c>
      <c r="G65" s="80" t="s">
        <v>98</v>
      </c>
      <c r="H65" s="84" t="s">
        <v>92</v>
      </c>
      <c r="I65" s="87" t="s">
        <v>102</v>
      </c>
      <c r="J65" s="88" t="s">
        <v>83</v>
      </c>
      <c r="K65" s="88" t="s">
        <v>84</v>
      </c>
      <c r="L65" s="88" t="s">
        <v>93</v>
      </c>
    </row>
    <row r="66" spans="1:15">
      <c r="A66" s="8" t="s">
        <v>11</v>
      </c>
      <c r="B66" s="50">
        <f>IF(B$3='Base Cenários'!A$3,'Base Cenários'!E7,(IF(B$3='Base Cenários'!A$14,'Base Cenários'!E18,'Base Cenários'!E29)))</f>
        <v>1E-3</v>
      </c>
      <c r="C66" s="45">
        <f>B66*24*60*60*365</f>
        <v>31535.999999999996</v>
      </c>
      <c r="D66" s="76">
        <v>1</v>
      </c>
      <c r="E66" s="92">
        <f>C$4</f>
        <v>0.15</v>
      </c>
      <c r="F66" s="81">
        <v>0.75</v>
      </c>
      <c r="G66" s="95">
        <f>C$4</f>
        <v>0.15</v>
      </c>
      <c r="H66" s="85">
        <v>1</v>
      </c>
      <c r="I66" s="98">
        <v>0.5</v>
      </c>
      <c r="J66" s="89">
        <f t="shared" ref="J66:J71" si="31">C66*D66*E66</f>
        <v>4730.3999999999996</v>
      </c>
      <c r="K66" s="89">
        <f>C66*F66*G66</f>
        <v>3547.7999999999993</v>
      </c>
      <c r="L66" s="89">
        <f>(J66+K66)*H66*I66</f>
        <v>4139.0999999999995</v>
      </c>
    </row>
    <row r="67" spans="1:15">
      <c r="A67" s="8" t="s">
        <v>12</v>
      </c>
      <c r="B67" s="50">
        <f>IF(B$3='Base Cenários'!A$3,'Base Cenários'!E8,(IF(B$3='Base Cenários'!A$14,'Base Cenários'!E19,'Base Cenários'!E30)))</f>
        <v>1E-3</v>
      </c>
      <c r="C67" s="45">
        <f t="shared" ref="C67:C71" si="32">B67*24*60*60*365</f>
        <v>31535.999999999996</v>
      </c>
      <c r="D67" s="76">
        <v>1</v>
      </c>
      <c r="E67" s="92">
        <f t="shared" ref="E67:E71" si="33">C$4</f>
        <v>0.15</v>
      </c>
      <c r="F67" s="81">
        <v>0.75</v>
      </c>
      <c r="G67" s="95">
        <f t="shared" ref="G67:G71" si="34">C$4</f>
        <v>0.15</v>
      </c>
      <c r="H67" s="85">
        <v>1</v>
      </c>
      <c r="I67" s="98">
        <v>0.5</v>
      </c>
      <c r="J67" s="89">
        <f t="shared" si="31"/>
        <v>4730.3999999999996</v>
      </c>
      <c r="K67" s="89">
        <f t="shared" ref="K67:K71" si="35">C67*F67*G67</f>
        <v>3547.7999999999993</v>
      </c>
      <c r="L67" s="89">
        <f t="shared" ref="L67:L71" si="36">(J67+K67)*H67*I67</f>
        <v>4139.0999999999995</v>
      </c>
    </row>
    <row r="68" spans="1:15">
      <c r="A68" s="8" t="s">
        <v>13</v>
      </c>
      <c r="B68" s="50">
        <f>IF(B$3='Base Cenários'!A$3,'Base Cenários'!E9,(IF(B$3='Base Cenários'!A$14,'Base Cenários'!E20,'Base Cenários'!E31)))</f>
        <v>8.0000000000000002E-3</v>
      </c>
      <c r="C68" s="45">
        <f t="shared" si="32"/>
        <v>252287.99999999997</v>
      </c>
      <c r="D68" s="76">
        <v>1</v>
      </c>
      <c r="E68" s="92">
        <f t="shared" si="33"/>
        <v>0.15</v>
      </c>
      <c r="F68" s="81">
        <v>0.75</v>
      </c>
      <c r="G68" s="95">
        <f t="shared" si="34"/>
        <v>0.15</v>
      </c>
      <c r="H68" s="85">
        <v>1</v>
      </c>
      <c r="I68" s="98">
        <v>0.5</v>
      </c>
      <c r="J68" s="89">
        <f t="shared" si="31"/>
        <v>37843.199999999997</v>
      </c>
      <c r="K68" s="89">
        <f t="shared" si="35"/>
        <v>28382.399999999994</v>
      </c>
      <c r="L68" s="89">
        <f t="shared" si="36"/>
        <v>33112.799999999996</v>
      </c>
    </row>
    <row r="69" spans="1:15">
      <c r="A69" s="8" t="s">
        <v>14</v>
      </c>
      <c r="B69" s="50">
        <f>IF(B$3='Base Cenários'!A$3,'Base Cenários'!E10,(IF(B$3='Base Cenários'!A$14,'Base Cenários'!E21,'Base Cenários'!E32)))</f>
        <v>1.4E-2</v>
      </c>
      <c r="C69" s="45">
        <f t="shared" si="32"/>
        <v>441503.99999999994</v>
      </c>
      <c r="D69" s="76">
        <v>1</v>
      </c>
      <c r="E69" s="92">
        <f t="shared" si="33"/>
        <v>0.15</v>
      </c>
      <c r="F69" s="81">
        <v>0.75</v>
      </c>
      <c r="G69" s="95">
        <f t="shared" si="34"/>
        <v>0.15</v>
      </c>
      <c r="H69" s="85">
        <v>1</v>
      </c>
      <c r="I69" s="98">
        <v>0.5</v>
      </c>
      <c r="J69" s="89">
        <f t="shared" si="31"/>
        <v>66225.599999999991</v>
      </c>
      <c r="K69" s="89">
        <f t="shared" si="35"/>
        <v>49669.19999999999</v>
      </c>
      <c r="L69" s="89">
        <f t="shared" si="36"/>
        <v>57947.399999999994</v>
      </c>
    </row>
    <row r="70" spans="1:15">
      <c r="A70" s="8" t="s">
        <v>15</v>
      </c>
      <c r="B70" s="50">
        <f>IF(B$3='Base Cenários'!A$3,'Base Cenários'!E11,(IF(B$3='Base Cenários'!A$14,'Base Cenários'!E22,'Base Cenários'!E33)))</f>
        <v>4.0000000000000001E-3</v>
      </c>
      <c r="C70" s="45">
        <f t="shared" si="32"/>
        <v>126143.99999999999</v>
      </c>
      <c r="D70" s="76">
        <v>1</v>
      </c>
      <c r="E70" s="92">
        <f t="shared" si="33"/>
        <v>0.15</v>
      </c>
      <c r="F70" s="81">
        <v>0.75</v>
      </c>
      <c r="G70" s="95">
        <f t="shared" si="34"/>
        <v>0.15</v>
      </c>
      <c r="H70" s="85">
        <v>1</v>
      </c>
      <c r="I70" s="98">
        <v>0.5</v>
      </c>
      <c r="J70" s="89">
        <f t="shared" si="31"/>
        <v>18921.599999999999</v>
      </c>
      <c r="K70" s="89">
        <f t="shared" si="35"/>
        <v>14191.199999999997</v>
      </c>
      <c r="L70" s="89">
        <f t="shared" si="36"/>
        <v>16556.399999999998</v>
      </c>
    </row>
    <row r="71" spans="1:15" ht="12.75" thickBot="1">
      <c r="A71" s="10" t="s">
        <v>16</v>
      </c>
      <c r="B71" s="51">
        <f>IF(B$3='Base Cenários'!A$3,'Base Cenários'!E12,(IF(B$3='Base Cenários'!A$14,'Base Cenários'!E23,'Base Cenários'!E34)))</f>
        <v>4.0000000000000001E-3</v>
      </c>
      <c r="C71" s="51">
        <f t="shared" si="32"/>
        <v>126143.99999999999</v>
      </c>
      <c r="D71" s="77">
        <v>1</v>
      </c>
      <c r="E71" s="93">
        <f t="shared" si="33"/>
        <v>0.15</v>
      </c>
      <c r="F71" s="82">
        <v>0.75</v>
      </c>
      <c r="G71" s="96">
        <f t="shared" si="34"/>
        <v>0.15</v>
      </c>
      <c r="H71" s="86">
        <v>1</v>
      </c>
      <c r="I71" s="99">
        <v>0.5</v>
      </c>
      <c r="J71" s="90">
        <f t="shared" si="31"/>
        <v>18921.599999999999</v>
      </c>
      <c r="K71" s="90">
        <f t="shared" si="35"/>
        <v>14191.199999999997</v>
      </c>
      <c r="L71" s="90">
        <f t="shared" si="36"/>
        <v>16556.399999999998</v>
      </c>
    </row>
    <row r="72" spans="1:15" ht="12.75" thickBot="1">
      <c r="K72" s="46" t="s">
        <v>40</v>
      </c>
      <c r="L72" s="94">
        <f>SUM(L66:L71)</f>
        <v>132451.19999999998</v>
      </c>
    </row>
    <row r="73" spans="1:15">
      <c r="K73" s="43"/>
      <c r="L73" s="73"/>
    </row>
    <row r="74" spans="1:15" ht="12.75" thickBot="1"/>
    <row r="75" spans="1:15" ht="12.75" thickBot="1">
      <c r="A75" s="165" t="s">
        <v>44</v>
      </c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</row>
    <row r="76" spans="1:15" ht="15.75" customHeight="1" thickBot="1">
      <c r="A76" s="158" t="s">
        <v>36</v>
      </c>
      <c r="B76" s="75" t="s">
        <v>37</v>
      </c>
      <c r="C76" s="75"/>
      <c r="D76" s="75"/>
      <c r="E76" s="75"/>
      <c r="F76" s="164" t="s">
        <v>86</v>
      </c>
      <c r="G76" s="164"/>
      <c r="H76" s="164"/>
      <c r="I76" s="162" t="s">
        <v>88</v>
      </c>
      <c r="J76" s="162"/>
      <c r="K76" s="83" t="s">
        <v>91</v>
      </c>
      <c r="L76" s="163" t="s">
        <v>82</v>
      </c>
      <c r="M76" s="163"/>
      <c r="N76" s="163"/>
      <c r="O76" s="163"/>
    </row>
    <row r="77" spans="1:15" ht="12.75" thickBot="1">
      <c r="A77" s="159"/>
      <c r="B77" s="44" t="s">
        <v>38</v>
      </c>
      <c r="C77" s="44" t="s">
        <v>87</v>
      </c>
      <c r="D77" s="44" t="s">
        <v>89</v>
      </c>
      <c r="E77" s="44" t="s">
        <v>97</v>
      </c>
      <c r="F77" s="80" t="s">
        <v>94</v>
      </c>
      <c r="G77" s="80" t="s">
        <v>95</v>
      </c>
      <c r="H77" s="80" t="s">
        <v>98</v>
      </c>
      <c r="I77" s="91" t="s">
        <v>96</v>
      </c>
      <c r="J77" s="91" t="s">
        <v>98</v>
      </c>
      <c r="K77" s="84" t="s">
        <v>92</v>
      </c>
      <c r="L77" s="88" t="s">
        <v>83</v>
      </c>
      <c r="M77" s="88" t="s">
        <v>84</v>
      </c>
      <c r="N77" s="88" t="s">
        <v>85</v>
      </c>
      <c r="O77" s="88" t="s">
        <v>93</v>
      </c>
    </row>
    <row r="78" spans="1:15">
      <c r="A78" s="8" t="s">
        <v>11</v>
      </c>
      <c r="B78" s="50">
        <f>IF(B$3='Base Cenários'!A$3,'Base Cenários'!F7,(IF(B$3='Base Cenários'!A$14,'Base Cenários'!F18,'Base Cenários'!F29)))</f>
        <v>0</v>
      </c>
      <c r="C78" s="45">
        <f>B78*24*60*60*365</f>
        <v>0</v>
      </c>
      <c r="D78" s="76">
        <v>1</v>
      </c>
      <c r="E78" s="92">
        <f>C$4</f>
        <v>0.15</v>
      </c>
      <c r="F78" s="81">
        <f t="shared" ref="F78:F83" si="37">C78</f>
        <v>0</v>
      </c>
      <c r="G78" s="81">
        <v>0</v>
      </c>
      <c r="H78" s="95">
        <f>C$4</f>
        <v>0.15</v>
      </c>
      <c r="I78" s="47">
        <f>IF(B$3='Base Cenários'!A$3,'Base Cenários'!K7,(IF(B$3='Base Cenários'!A$14,'Base Cenários'!K18,'Base Cenários'!K29)))</f>
        <v>0</v>
      </c>
      <c r="J78" s="47">
        <f>C$4</f>
        <v>0.15</v>
      </c>
      <c r="K78" s="85">
        <v>1</v>
      </c>
      <c r="L78" s="89">
        <f>C78*D78*E78</f>
        <v>0</v>
      </c>
      <c r="M78" s="89">
        <f>IF(F78&gt;0,(F78-G78)*H78*(C78/F78),0)</f>
        <v>0</v>
      </c>
      <c r="N78" s="89">
        <f>I78*J78</f>
        <v>0</v>
      </c>
      <c r="O78" s="89">
        <f>(L78+M78+N78)*K78</f>
        <v>0</v>
      </c>
    </row>
    <row r="79" spans="1:15">
      <c r="A79" s="8" t="s">
        <v>12</v>
      </c>
      <c r="B79" s="50">
        <f>IF(B$3='Base Cenários'!A$3,'Base Cenários'!F8,(IF(B$3='Base Cenários'!A$14,'Base Cenários'!F19,'Base Cenários'!F30)))</f>
        <v>0</v>
      </c>
      <c r="C79" s="45">
        <f t="shared" ref="C79:C83" si="38">B79*24*60*60*365</f>
        <v>0</v>
      </c>
      <c r="D79" s="76">
        <v>1</v>
      </c>
      <c r="E79" s="92">
        <f t="shared" ref="E79:E83" si="39">C$4</f>
        <v>0.15</v>
      </c>
      <c r="F79" s="81">
        <f t="shared" si="37"/>
        <v>0</v>
      </c>
      <c r="G79" s="81">
        <v>0</v>
      </c>
      <c r="H79" s="95">
        <f t="shared" ref="H79:H83" si="40">C$4</f>
        <v>0.15</v>
      </c>
      <c r="I79" s="47">
        <f>IF(B$3='Base Cenários'!A$3,'Base Cenários'!K8,(IF(B$3='Base Cenários'!A$14,'Base Cenários'!K19,'Base Cenários'!K30)))</f>
        <v>0</v>
      </c>
      <c r="J79" s="47">
        <f t="shared" ref="J79:J83" si="41">C$4</f>
        <v>0.15</v>
      </c>
      <c r="K79" s="85">
        <v>1</v>
      </c>
      <c r="L79" s="89">
        <f t="shared" ref="L79:L83" si="42">C79*D79*E79</f>
        <v>0</v>
      </c>
      <c r="M79" s="89">
        <f t="shared" ref="M79:M83" si="43">IF(F79&gt;0,(F79-G79)*H79*(C79/F79),0)</f>
        <v>0</v>
      </c>
      <c r="N79" s="89">
        <f t="shared" ref="N79:N83" si="44">I79*J79</f>
        <v>0</v>
      </c>
      <c r="O79" s="89">
        <f t="shared" ref="O79:O83" si="45">(L79+M79+N79)*K79</f>
        <v>0</v>
      </c>
    </row>
    <row r="80" spans="1:15">
      <c r="A80" s="8" t="s">
        <v>13</v>
      </c>
      <c r="B80" s="50">
        <f>IF(B$3='Base Cenários'!A$3,'Base Cenários'!F9,(IF(B$3='Base Cenários'!A$14,'Base Cenários'!F20,'Base Cenários'!F31)))</f>
        <v>0</v>
      </c>
      <c r="C80" s="45">
        <f t="shared" si="38"/>
        <v>0</v>
      </c>
      <c r="D80" s="76">
        <v>1</v>
      </c>
      <c r="E80" s="92">
        <f t="shared" si="39"/>
        <v>0.15</v>
      </c>
      <c r="F80" s="81">
        <f t="shared" si="37"/>
        <v>0</v>
      </c>
      <c r="G80" s="81">
        <v>0</v>
      </c>
      <c r="H80" s="95">
        <f t="shared" si="40"/>
        <v>0.15</v>
      </c>
      <c r="I80" s="47">
        <f>IF(B$3='Base Cenários'!A$3,'Base Cenários'!K9,(IF(B$3='Base Cenários'!A$14,'Base Cenários'!K20,'Base Cenários'!K31)))</f>
        <v>0</v>
      </c>
      <c r="J80" s="47">
        <f t="shared" si="41"/>
        <v>0.15</v>
      </c>
      <c r="K80" s="85">
        <v>1</v>
      </c>
      <c r="L80" s="89">
        <f t="shared" si="42"/>
        <v>0</v>
      </c>
      <c r="M80" s="89">
        <f t="shared" si="43"/>
        <v>0</v>
      </c>
      <c r="N80" s="89">
        <f t="shared" si="44"/>
        <v>0</v>
      </c>
      <c r="O80" s="89">
        <f t="shared" si="45"/>
        <v>0</v>
      </c>
    </row>
    <row r="81" spans="1:15">
      <c r="A81" s="8" t="s">
        <v>14</v>
      </c>
      <c r="B81" s="50">
        <f>IF(B$3='Base Cenários'!A$3,'Base Cenários'!F10,(IF(B$3='Base Cenários'!A$14,'Base Cenários'!F21,'Base Cenários'!F32)))</f>
        <v>2.0501472602739725</v>
      </c>
      <c r="C81" s="45">
        <f t="shared" si="38"/>
        <v>64653443.999999993</v>
      </c>
      <c r="D81" s="76">
        <v>1</v>
      </c>
      <c r="E81" s="92">
        <f t="shared" si="39"/>
        <v>0.15</v>
      </c>
      <c r="F81" s="81">
        <f t="shared" si="37"/>
        <v>64653443.999999993</v>
      </c>
      <c r="G81" s="81">
        <v>0</v>
      </c>
      <c r="H81" s="95">
        <f t="shared" si="40"/>
        <v>0.15</v>
      </c>
      <c r="I81" s="47">
        <f>IF(B$3='Base Cenários'!A$3,'Base Cenários'!K10,(IF(B$3='Base Cenários'!A$14,'Base Cenários'!K21,'Base Cenários'!K32)))</f>
        <v>717043.82975999999</v>
      </c>
      <c r="J81" s="47">
        <f t="shared" si="41"/>
        <v>0.15</v>
      </c>
      <c r="K81" s="85">
        <v>1</v>
      </c>
      <c r="L81" s="89">
        <f t="shared" si="42"/>
        <v>9698016.5999999978</v>
      </c>
      <c r="M81" s="89">
        <f t="shared" si="43"/>
        <v>9698016.5999999978</v>
      </c>
      <c r="N81" s="89">
        <f t="shared" si="44"/>
        <v>107556.57446399999</v>
      </c>
      <c r="O81" s="89">
        <f t="shared" si="45"/>
        <v>19503589.774463996</v>
      </c>
    </row>
    <row r="82" spans="1:15">
      <c r="A82" s="8" t="s">
        <v>15</v>
      </c>
      <c r="B82" s="50">
        <f>IF(B$3='Base Cenários'!A$3,'Base Cenários'!F11,(IF(B$3='Base Cenários'!A$14,'Base Cenários'!F22,'Base Cenários'!F33)))</f>
        <v>0</v>
      </c>
      <c r="C82" s="45">
        <f t="shared" si="38"/>
        <v>0</v>
      </c>
      <c r="D82" s="76">
        <v>1</v>
      </c>
      <c r="E82" s="92">
        <f t="shared" si="39"/>
        <v>0.15</v>
      </c>
      <c r="F82" s="81">
        <f t="shared" si="37"/>
        <v>0</v>
      </c>
      <c r="G82" s="81">
        <v>0</v>
      </c>
      <c r="H82" s="95">
        <f t="shared" si="40"/>
        <v>0.15</v>
      </c>
      <c r="I82" s="47">
        <f>IF(B$3='Base Cenários'!A$3,'Base Cenários'!K11,(IF(B$3='Base Cenários'!A$14,'Base Cenários'!K22,'Base Cenários'!K33)))</f>
        <v>0</v>
      </c>
      <c r="J82" s="47">
        <f t="shared" si="41"/>
        <v>0.15</v>
      </c>
      <c r="K82" s="85">
        <v>1</v>
      </c>
      <c r="L82" s="89">
        <f t="shared" si="42"/>
        <v>0</v>
      </c>
      <c r="M82" s="89">
        <f t="shared" si="43"/>
        <v>0</v>
      </c>
      <c r="N82" s="89">
        <f t="shared" si="44"/>
        <v>0</v>
      </c>
      <c r="O82" s="89">
        <f t="shared" si="45"/>
        <v>0</v>
      </c>
    </row>
    <row r="83" spans="1:15" ht="12.75" thickBot="1">
      <c r="A83" s="10" t="s">
        <v>16</v>
      </c>
      <c r="B83" s="51">
        <f>IF(B$3='Base Cenários'!A$3,'Base Cenários'!F12,(IF(B$3='Base Cenários'!A$14,'Base Cenários'!F23,'Base Cenários'!F34)))</f>
        <v>0</v>
      </c>
      <c r="C83" s="51">
        <f t="shared" si="38"/>
        <v>0</v>
      </c>
      <c r="D83" s="77">
        <v>1</v>
      </c>
      <c r="E83" s="93">
        <f t="shared" si="39"/>
        <v>0.15</v>
      </c>
      <c r="F83" s="82">
        <f t="shared" si="37"/>
        <v>0</v>
      </c>
      <c r="G83" s="82">
        <v>0</v>
      </c>
      <c r="H83" s="96">
        <f t="shared" si="40"/>
        <v>0.15</v>
      </c>
      <c r="I83" s="48">
        <f>IF(B$3='Base Cenários'!A$3,'Base Cenários'!K12,(IF(B$3='Base Cenários'!A$14,'Base Cenários'!K23,'Base Cenários'!K34)))</f>
        <v>0</v>
      </c>
      <c r="J83" s="48">
        <f t="shared" si="41"/>
        <v>0.15</v>
      </c>
      <c r="K83" s="86">
        <v>1</v>
      </c>
      <c r="L83" s="90">
        <f t="shared" si="42"/>
        <v>0</v>
      </c>
      <c r="M83" s="90">
        <f t="shared" si="43"/>
        <v>0</v>
      </c>
      <c r="N83" s="90">
        <f t="shared" si="44"/>
        <v>0</v>
      </c>
      <c r="O83" s="90">
        <f t="shared" si="45"/>
        <v>0</v>
      </c>
    </row>
    <row r="84" spans="1:15" ht="12.75" thickBot="1">
      <c r="N84" s="46" t="s">
        <v>40</v>
      </c>
      <c r="O84" s="94">
        <f>SUM(O78:O83)</f>
        <v>19503589.774463996</v>
      </c>
    </row>
  </sheetData>
  <mergeCells count="34">
    <mergeCell ref="A1:M1"/>
    <mergeCell ref="B2:I2"/>
    <mergeCell ref="A6:F6"/>
    <mergeCell ref="H6:M6"/>
    <mergeCell ref="A7:A8"/>
    <mergeCell ref="H7:H8"/>
    <mergeCell ref="B8:F8"/>
    <mergeCell ref="I8:M8"/>
    <mergeCell ref="A25:Q25"/>
    <mergeCell ref="A26:A27"/>
    <mergeCell ref="B26:F26"/>
    <mergeCell ref="G26:J26"/>
    <mergeCell ref="K26:L26"/>
    <mergeCell ref="N26:Q26"/>
    <mergeCell ref="A64:A65"/>
    <mergeCell ref="B64:E64"/>
    <mergeCell ref="F64:G64"/>
    <mergeCell ref="J64:L64"/>
    <mergeCell ref="A39:M39"/>
    <mergeCell ref="A40:A41"/>
    <mergeCell ref="B40:E40"/>
    <mergeCell ref="F40:H40"/>
    <mergeCell ref="K40:M40"/>
    <mergeCell ref="A51:O51"/>
    <mergeCell ref="A52:A53"/>
    <mergeCell ref="F52:H52"/>
    <mergeCell ref="I52:J52"/>
    <mergeCell ref="L52:O52"/>
    <mergeCell ref="A63:L63"/>
    <mergeCell ref="A75:O75"/>
    <mergeCell ref="A76:A77"/>
    <mergeCell ref="F76:H76"/>
    <mergeCell ref="I76:J76"/>
    <mergeCell ref="L76:O76"/>
  </mergeCells>
  <dataValidations count="2">
    <dataValidation type="list" allowBlank="1" showInputMessage="1" showErrorMessage="1" sqref="B3" xr:uid="{2BA2BE35-4AD2-447B-B9F0-1BE82988D4E7}">
      <formula1>"Cenário 1,Cenário 2,Cenário 3"</formula1>
    </dataValidation>
    <dataValidation type="list" allowBlank="1" showInputMessage="1" showErrorMessage="1" sqref="B4" xr:uid="{51F3700F-4133-45E4-BA4A-FF29EE7C9A5D}">
      <formula1>"PPU 1,PPU 2,PPU 3"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598FF-D7B0-4D0D-A231-6C3719D4B5D5}">
  <dimension ref="A1:Y15"/>
  <sheetViews>
    <sheetView workbookViewId="0">
      <selection activeCell="D42" sqref="D42"/>
    </sheetView>
  </sheetViews>
  <sheetFormatPr defaultColWidth="9.125" defaultRowHeight="11.25"/>
  <cols>
    <col min="1" max="1" width="16.375" style="33" bestFit="1" customWidth="1"/>
    <col min="2" max="2" width="1.625" style="32" customWidth="1"/>
    <col min="3" max="4" width="10.625" style="32" bestFit="1" customWidth="1"/>
    <col min="5" max="5" width="13.625" style="32" bestFit="1" customWidth="1"/>
    <col min="6" max="6" width="10.375" style="32" bestFit="1" customWidth="1"/>
    <col min="7" max="8" width="7.875" style="32" bestFit="1" customWidth="1"/>
    <col min="9" max="9" width="1.875" style="32" customWidth="1"/>
    <col min="10" max="11" width="10.625" style="32" bestFit="1" customWidth="1"/>
    <col min="12" max="12" width="2.625" style="32" customWidth="1"/>
    <col min="13" max="13" width="8.25" style="32" bestFit="1" customWidth="1"/>
    <col min="14" max="14" width="10.625" style="32" bestFit="1" customWidth="1"/>
    <col min="15" max="15" width="11" style="32" bestFit="1" customWidth="1"/>
    <col min="16" max="16" width="7.875" style="32" bestFit="1" customWidth="1"/>
    <col min="17" max="17" width="2.625" style="32" customWidth="1"/>
    <col min="18" max="18" width="8.25" style="32" bestFit="1" customWidth="1"/>
    <col min="19" max="19" width="10.625" style="32" bestFit="1" customWidth="1"/>
    <col min="20" max="20" width="11" style="32" bestFit="1" customWidth="1"/>
    <col min="21" max="21" width="7.875" style="32" bestFit="1" customWidth="1"/>
    <col min="22" max="22" width="2.75" style="32" customWidth="1"/>
    <col min="23" max="23" width="8.25" style="32" bestFit="1" customWidth="1"/>
    <col min="24" max="24" width="10.375" style="32" customWidth="1"/>
    <col min="25" max="25" width="11" style="32" bestFit="1" customWidth="1"/>
    <col min="26" max="16384" width="9.125" style="32"/>
  </cols>
  <sheetData>
    <row r="1" spans="1:25" ht="12.75">
      <c r="A1" s="126" t="s">
        <v>61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</row>
    <row r="3" spans="1:25" ht="15" customHeight="1">
      <c r="A3" s="130" t="s">
        <v>50</v>
      </c>
      <c r="C3" s="129" t="s">
        <v>42</v>
      </c>
      <c r="D3" s="129"/>
      <c r="E3" s="129"/>
      <c r="F3" s="129"/>
      <c r="G3" s="129"/>
      <c r="H3" s="129"/>
      <c r="J3" s="127" t="s">
        <v>43</v>
      </c>
      <c r="K3" s="127"/>
      <c r="M3" s="132" t="s">
        <v>3</v>
      </c>
      <c r="N3" s="132"/>
      <c r="O3" s="132"/>
      <c r="P3" s="132"/>
      <c r="R3" s="122" t="s">
        <v>4</v>
      </c>
      <c r="S3" s="122"/>
      <c r="T3" s="122"/>
      <c r="U3" s="122"/>
      <c r="W3" s="124" t="s">
        <v>44</v>
      </c>
      <c r="X3" s="124"/>
      <c r="Y3" s="124"/>
    </row>
    <row r="4" spans="1:25" ht="45">
      <c r="A4" s="130"/>
      <c r="C4" s="102" t="s">
        <v>66</v>
      </c>
      <c r="D4" s="102" t="s">
        <v>65</v>
      </c>
      <c r="E4" s="102" t="s">
        <v>51</v>
      </c>
      <c r="F4" s="102" t="s">
        <v>52</v>
      </c>
      <c r="G4" s="102" t="s">
        <v>53</v>
      </c>
      <c r="H4" s="102" t="s">
        <v>54</v>
      </c>
      <c r="J4" s="105" t="s">
        <v>66</v>
      </c>
      <c r="K4" s="105" t="s">
        <v>65</v>
      </c>
      <c r="M4" s="108" t="s">
        <v>66</v>
      </c>
      <c r="N4" s="108" t="s">
        <v>65</v>
      </c>
      <c r="O4" s="108" t="s">
        <v>51</v>
      </c>
      <c r="P4" s="108" t="s">
        <v>54</v>
      </c>
      <c r="R4" s="109" t="s">
        <v>66</v>
      </c>
      <c r="S4" s="109" t="s">
        <v>65</v>
      </c>
      <c r="T4" s="109" t="s">
        <v>51</v>
      </c>
      <c r="U4" s="109" t="s">
        <v>54</v>
      </c>
      <c r="W4" s="110" t="s">
        <v>66</v>
      </c>
      <c r="X4" s="110" t="s">
        <v>65</v>
      </c>
      <c r="Y4" s="110" t="s">
        <v>51</v>
      </c>
    </row>
    <row r="5" spans="1:25">
      <c r="A5" s="130"/>
      <c r="C5" s="102" t="s">
        <v>55</v>
      </c>
      <c r="D5" s="102" t="s">
        <v>55</v>
      </c>
      <c r="E5" s="102" t="s">
        <v>56</v>
      </c>
      <c r="F5" s="102" t="s">
        <v>57</v>
      </c>
      <c r="G5" s="102" t="s">
        <v>58</v>
      </c>
      <c r="H5" s="102" t="s">
        <v>59</v>
      </c>
      <c r="J5" s="105" t="s">
        <v>55</v>
      </c>
      <c r="K5" s="105" t="s">
        <v>55</v>
      </c>
      <c r="M5" s="108" t="s">
        <v>55</v>
      </c>
      <c r="N5" s="108" t="s">
        <v>55</v>
      </c>
      <c r="O5" s="108" t="s">
        <v>56</v>
      </c>
      <c r="P5" s="108" t="s">
        <v>59</v>
      </c>
      <c r="R5" s="109" t="s">
        <v>55</v>
      </c>
      <c r="S5" s="109" t="s">
        <v>55</v>
      </c>
      <c r="T5" s="109" t="s">
        <v>56</v>
      </c>
      <c r="U5" s="109" t="s">
        <v>59</v>
      </c>
      <c r="W5" s="110" t="s">
        <v>55</v>
      </c>
      <c r="X5" s="110" t="s">
        <v>55</v>
      </c>
      <c r="Y5" s="110" t="s">
        <v>56</v>
      </c>
    </row>
    <row r="6" spans="1:25" ht="13.5" customHeight="1">
      <c r="A6" s="130"/>
      <c r="C6" s="131" t="s">
        <v>67</v>
      </c>
      <c r="D6" s="131"/>
      <c r="E6" s="131"/>
      <c r="F6" s="131"/>
      <c r="G6" s="131"/>
      <c r="H6" s="131"/>
      <c r="J6" s="128" t="s">
        <v>67</v>
      </c>
      <c r="K6" s="128"/>
      <c r="M6" s="133" t="s">
        <v>67</v>
      </c>
      <c r="N6" s="133"/>
      <c r="O6" s="133"/>
      <c r="P6" s="133"/>
      <c r="R6" s="123" t="s">
        <v>67</v>
      </c>
      <c r="S6" s="123"/>
      <c r="T6" s="123"/>
      <c r="U6" s="123"/>
      <c r="W6" s="125" t="s">
        <v>67</v>
      </c>
      <c r="X6" s="125"/>
      <c r="Y6" s="125"/>
    </row>
    <row r="7" spans="1:25">
      <c r="A7" s="106" t="s">
        <v>11</v>
      </c>
      <c r="C7" s="103">
        <v>0</v>
      </c>
      <c r="D7" s="103">
        <v>0</v>
      </c>
      <c r="E7" s="103">
        <v>0</v>
      </c>
      <c r="F7" s="103">
        <v>0</v>
      </c>
      <c r="G7" s="103">
        <v>0</v>
      </c>
      <c r="H7" s="103">
        <v>0</v>
      </c>
      <c r="J7" s="103">
        <v>0</v>
      </c>
      <c r="K7" s="103">
        <v>0</v>
      </c>
      <c r="M7" s="103">
        <v>0</v>
      </c>
      <c r="N7" s="103">
        <v>0</v>
      </c>
      <c r="O7" s="103">
        <v>0</v>
      </c>
      <c r="P7" s="103">
        <v>0</v>
      </c>
      <c r="R7" s="103">
        <v>0</v>
      </c>
      <c r="S7" s="103">
        <v>0</v>
      </c>
      <c r="T7" s="103">
        <v>1E-3</v>
      </c>
      <c r="U7" s="103">
        <v>0</v>
      </c>
      <c r="W7" s="103">
        <v>0</v>
      </c>
      <c r="X7" s="103">
        <v>0</v>
      </c>
      <c r="Y7" s="103">
        <v>0</v>
      </c>
    </row>
    <row r="8" spans="1:25">
      <c r="A8" s="106" t="s">
        <v>12</v>
      </c>
      <c r="C8" s="103">
        <v>2.7463013698630135E-3</v>
      </c>
      <c r="D8" s="103">
        <v>0</v>
      </c>
      <c r="E8" s="103">
        <v>3.5000000000000003E-2</v>
      </c>
      <c r="F8" s="103">
        <v>7.3999999999999996E-2</v>
      </c>
      <c r="G8" s="103">
        <v>2.5000000000000001E-3</v>
      </c>
      <c r="H8" s="103">
        <v>0</v>
      </c>
      <c r="J8" s="103">
        <v>0</v>
      </c>
      <c r="K8" s="103">
        <v>0</v>
      </c>
      <c r="M8" s="103">
        <v>0</v>
      </c>
      <c r="N8" s="103">
        <v>0</v>
      </c>
      <c r="O8" s="103">
        <v>0</v>
      </c>
      <c r="P8" s="103">
        <v>0</v>
      </c>
      <c r="R8" s="103">
        <v>0</v>
      </c>
      <c r="S8" s="103">
        <v>0</v>
      </c>
      <c r="T8" s="103">
        <v>1E-3</v>
      </c>
      <c r="U8" s="103">
        <v>0</v>
      </c>
      <c r="W8" s="103">
        <v>0</v>
      </c>
      <c r="X8" s="103">
        <v>0</v>
      </c>
      <c r="Y8" s="103">
        <v>0</v>
      </c>
    </row>
    <row r="9" spans="1:25">
      <c r="A9" s="106" t="s">
        <v>13</v>
      </c>
      <c r="C9" s="103">
        <v>0</v>
      </c>
      <c r="D9" s="103">
        <v>0</v>
      </c>
      <c r="E9" s="103">
        <v>0</v>
      </c>
      <c r="F9" s="103">
        <v>0</v>
      </c>
      <c r="G9" s="103">
        <v>2.0000000000000001E-4</v>
      </c>
      <c r="H9" s="103">
        <v>0</v>
      </c>
      <c r="J9" s="103">
        <v>0</v>
      </c>
      <c r="K9" s="103">
        <v>0</v>
      </c>
      <c r="M9" s="103">
        <v>0</v>
      </c>
      <c r="N9" s="103">
        <v>0</v>
      </c>
      <c r="O9" s="103">
        <v>0</v>
      </c>
      <c r="P9" s="103">
        <v>0</v>
      </c>
      <c r="R9" s="103">
        <v>0</v>
      </c>
      <c r="S9" s="103">
        <v>0</v>
      </c>
      <c r="T9" s="103">
        <v>8.0000000000000002E-3</v>
      </c>
      <c r="U9" s="103">
        <v>0</v>
      </c>
      <c r="W9" s="103">
        <v>0</v>
      </c>
      <c r="X9" s="103">
        <v>0</v>
      </c>
      <c r="Y9" s="103">
        <v>0</v>
      </c>
    </row>
    <row r="10" spans="1:25">
      <c r="A10" s="106" t="s">
        <v>14</v>
      </c>
      <c r="C10" s="103">
        <v>1.5378496004566211</v>
      </c>
      <c r="D10" s="103">
        <v>1.4279999999999999</v>
      </c>
      <c r="E10" s="103">
        <v>0.40300000000000002</v>
      </c>
      <c r="F10" s="103">
        <v>0.73</v>
      </c>
      <c r="G10" s="103">
        <v>1.1142000000000001</v>
      </c>
      <c r="H10" s="103">
        <v>0.78039999999999998</v>
      </c>
      <c r="J10" s="103">
        <v>0</v>
      </c>
      <c r="K10" s="103">
        <v>0</v>
      </c>
      <c r="M10" s="103">
        <v>0.27297475266362253</v>
      </c>
      <c r="N10" s="103">
        <v>0.23543264205986808</v>
      </c>
      <c r="O10" s="103">
        <v>0.71099999999999997</v>
      </c>
      <c r="P10" s="103">
        <v>0.74039999999999995</v>
      </c>
      <c r="R10" s="103">
        <v>2.0091324200913243E-4</v>
      </c>
      <c r="S10" s="103">
        <v>0</v>
      </c>
      <c r="T10" s="103">
        <v>1.4E-2</v>
      </c>
      <c r="U10" s="103">
        <v>8.0000000000000004E-4</v>
      </c>
      <c r="W10" s="103">
        <v>2.0501472602739725</v>
      </c>
      <c r="X10" s="103">
        <v>1.1408401826484014</v>
      </c>
      <c r="Y10" s="103">
        <v>0.13400000000000001</v>
      </c>
    </row>
    <row r="11" spans="1:25">
      <c r="A11" s="106" t="s">
        <v>15</v>
      </c>
      <c r="C11" s="103">
        <v>2.5337899543378998E-3</v>
      </c>
      <c r="D11" s="103">
        <v>0</v>
      </c>
      <c r="E11" s="103">
        <v>2.1999999999999999E-2</v>
      </c>
      <c r="F11" s="103">
        <v>0</v>
      </c>
      <c r="G11" s="103">
        <v>1.2699999999999999E-2</v>
      </c>
      <c r="H11" s="103">
        <v>0</v>
      </c>
      <c r="J11" s="103">
        <v>0.32585412480974124</v>
      </c>
      <c r="K11" s="103">
        <v>0</v>
      </c>
      <c r="M11" s="103">
        <v>0</v>
      </c>
      <c r="N11" s="103">
        <v>0</v>
      </c>
      <c r="O11" s="103">
        <v>0</v>
      </c>
      <c r="P11" s="103">
        <v>0</v>
      </c>
      <c r="R11" s="103">
        <v>2.0795281582952816E-4</v>
      </c>
      <c r="S11" s="103">
        <v>0</v>
      </c>
      <c r="T11" s="103">
        <v>4.0000000000000001E-3</v>
      </c>
      <c r="U11" s="103">
        <v>5.5999999999999999E-3</v>
      </c>
      <c r="W11" s="103">
        <v>0</v>
      </c>
      <c r="X11" s="103">
        <v>0</v>
      </c>
      <c r="Y11" s="103">
        <v>0</v>
      </c>
    </row>
    <row r="12" spans="1:25">
      <c r="A12" s="106" t="s">
        <v>16</v>
      </c>
      <c r="C12" s="103">
        <v>3.9222222222222193E-2</v>
      </c>
      <c r="D12" s="103">
        <v>0</v>
      </c>
      <c r="E12" s="103">
        <v>0.51800000000000002</v>
      </c>
      <c r="F12" s="103">
        <v>0.42</v>
      </c>
      <c r="G12" s="103">
        <v>0.46760000000000002</v>
      </c>
      <c r="H12" s="103">
        <v>0.2243</v>
      </c>
      <c r="J12" s="103">
        <v>0</v>
      </c>
      <c r="K12" s="103">
        <v>0</v>
      </c>
      <c r="M12" s="103">
        <v>1.5498985286656519E-3</v>
      </c>
      <c r="N12" s="103">
        <v>6.2572298325722976E-4</v>
      </c>
      <c r="O12" s="103">
        <v>5.9999999999999995E-4</v>
      </c>
      <c r="P12" s="103">
        <v>5.9999999999999995E-4</v>
      </c>
      <c r="R12" s="103">
        <v>2.7207001522070015E-4</v>
      </c>
      <c r="S12" s="103">
        <v>0</v>
      </c>
      <c r="T12" s="103">
        <v>4.0000000000000001E-3</v>
      </c>
      <c r="U12" s="103">
        <v>3.8999999999999998E-3</v>
      </c>
      <c r="W12" s="103">
        <v>0</v>
      </c>
      <c r="X12" s="103">
        <v>0</v>
      </c>
      <c r="Y12" s="103">
        <v>0</v>
      </c>
    </row>
    <row r="13" spans="1:25">
      <c r="A13" s="107" t="s">
        <v>60</v>
      </c>
      <c r="C13" s="104">
        <v>1.5823519140030442</v>
      </c>
      <c r="D13" s="104">
        <v>1.4279999999999999</v>
      </c>
      <c r="E13" s="104">
        <v>0.97800000000000009</v>
      </c>
      <c r="F13" s="104">
        <v>1.224</v>
      </c>
      <c r="G13" s="104">
        <v>1.5972</v>
      </c>
      <c r="H13" s="104">
        <v>1.0046999999999999</v>
      </c>
      <c r="J13" s="104">
        <v>0.32585412480974124</v>
      </c>
      <c r="K13" s="104">
        <v>0</v>
      </c>
      <c r="M13" s="104">
        <v>0.27452465119228819</v>
      </c>
      <c r="N13" s="104">
        <v>0.2360583650431253</v>
      </c>
      <c r="O13" s="104">
        <v>0.71160000000000001</v>
      </c>
      <c r="P13" s="104">
        <v>0.74099999999999999</v>
      </c>
      <c r="R13" s="104">
        <v>6.8093607305936069E-4</v>
      </c>
      <c r="S13" s="104">
        <v>0</v>
      </c>
      <c r="T13" s="104">
        <v>3.2000000000000001E-2</v>
      </c>
      <c r="U13" s="104">
        <v>1.03E-2</v>
      </c>
      <c r="W13" s="104">
        <v>2.0501472602739725</v>
      </c>
      <c r="X13" s="104">
        <v>1.1408401826484014</v>
      </c>
      <c r="Y13" s="104">
        <v>0.13400000000000001</v>
      </c>
    </row>
    <row r="15" spans="1:25">
      <c r="E15" s="34"/>
    </row>
  </sheetData>
  <mergeCells count="12">
    <mergeCell ref="R3:U3"/>
    <mergeCell ref="R6:U6"/>
    <mergeCell ref="W3:Y3"/>
    <mergeCell ref="W6:Y6"/>
    <mergeCell ref="A1:Y1"/>
    <mergeCell ref="J3:K3"/>
    <mergeCell ref="J6:K6"/>
    <mergeCell ref="C3:H3"/>
    <mergeCell ref="A3:A6"/>
    <mergeCell ref="C6:H6"/>
    <mergeCell ref="M3:P3"/>
    <mergeCell ref="M6:P6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69C26-377B-4C3E-8F00-A9CB807AC043}">
  <dimension ref="A1:M13"/>
  <sheetViews>
    <sheetView workbookViewId="0">
      <selection activeCell="Q34" sqref="Q34"/>
    </sheetView>
  </sheetViews>
  <sheetFormatPr defaultColWidth="9.125" defaultRowHeight="11.25"/>
  <cols>
    <col min="1" max="1" width="16.375" style="33" bestFit="1" customWidth="1"/>
    <col min="2" max="2" width="1.625" style="32" customWidth="1"/>
    <col min="3" max="4" width="10.625" style="32" bestFit="1" customWidth="1"/>
    <col min="5" max="5" width="10.375" style="32" bestFit="1" customWidth="1"/>
    <col min="6" max="6" width="8.25" style="32" bestFit="1" customWidth="1"/>
    <col min="7" max="7" width="1.875" style="32" customWidth="1"/>
    <col min="8" max="8" width="8.25" style="32" bestFit="1" customWidth="1"/>
    <col min="9" max="9" width="10.625" style="32" bestFit="1" customWidth="1"/>
    <col min="10" max="10" width="11" style="32" bestFit="1" customWidth="1"/>
    <col min="11" max="11" width="2.625" style="32" customWidth="1"/>
    <col min="12" max="12" width="8.25" style="32" bestFit="1" customWidth="1"/>
    <col min="13" max="13" width="10.375" style="32" customWidth="1"/>
    <col min="14" max="16384" width="9.125" style="32"/>
  </cols>
  <sheetData>
    <row r="1" spans="1:13" ht="12.75">
      <c r="A1" s="126" t="s">
        <v>111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3" spans="1:13" ht="15" customHeight="1">
      <c r="A3" s="130" t="s">
        <v>50</v>
      </c>
      <c r="C3" s="129" t="s">
        <v>106</v>
      </c>
      <c r="D3" s="129"/>
      <c r="E3" s="129"/>
      <c r="F3" s="129"/>
      <c r="H3" s="132" t="s">
        <v>3</v>
      </c>
      <c r="I3" s="132"/>
      <c r="J3" s="132"/>
      <c r="L3" s="124" t="s">
        <v>44</v>
      </c>
      <c r="M3" s="124"/>
    </row>
    <row r="4" spans="1:13" ht="45">
      <c r="A4" s="130"/>
      <c r="C4" s="102" t="s">
        <v>66</v>
      </c>
      <c r="D4" s="102" t="s">
        <v>65</v>
      </c>
      <c r="E4" s="102" t="s">
        <v>107</v>
      </c>
      <c r="F4" s="102" t="s">
        <v>53</v>
      </c>
      <c r="H4" s="108" t="s">
        <v>66</v>
      </c>
      <c r="I4" s="108" t="s">
        <v>65</v>
      </c>
      <c r="J4" s="108" t="s">
        <v>109</v>
      </c>
      <c r="L4" s="110" t="s">
        <v>66</v>
      </c>
      <c r="M4" s="110" t="s">
        <v>65</v>
      </c>
    </row>
    <row r="5" spans="1:13">
      <c r="A5" s="130"/>
      <c r="C5" s="102" t="s">
        <v>55</v>
      </c>
      <c r="D5" s="102" t="s">
        <v>55</v>
      </c>
      <c r="E5" s="102" t="s">
        <v>108</v>
      </c>
      <c r="F5" s="102" t="s">
        <v>58</v>
      </c>
      <c r="H5" s="108" t="s">
        <v>55</v>
      </c>
      <c r="I5" s="108" t="s">
        <v>55</v>
      </c>
      <c r="J5" s="108" t="s">
        <v>57</v>
      </c>
      <c r="L5" s="110" t="s">
        <v>55</v>
      </c>
      <c r="M5" s="110" t="s">
        <v>55</v>
      </c>
    </row>
    <row r="6" spans="1:13" ht="13.5" customHeight="1">
      <c r="A6" s="130"/>
      <c r="C6" s="131" t="s">
        <v>110</v>
      </c>
      <c r="D6" s="131"/>
      <c r="E6" s="131"/>
      <c r="F6" s="131"/>
      <c r="H6" s="133" t="s">
        <v>110</v>
      </c>
      <c r="I6" s="133"/>
      <c r="J6" s="133"/>
      <c r="L6" s="125" t="s">
        <v>67</v>
      </c>
      <c r="M6" s="125"/>
    </row>
    <row r="7" spans="1:13">
      <c r="A7" s="106" t="s">
        <v>11</v>
      </c>
      <c r="C7" s="111">
        <v>0</v>
      </c>
      <c r="D7" s="111">
        <v>0</v>
      </c>
      <c r="E7" s="111">
        <v>2.83</v>
      </c>
      <c r="F7" s="111">
        <v>2.5499999999999998</v>
      </c>
      <c r="H7" s="111">
        <v>0</v>
      </c>
      <c r="I7" s="111">
        <v>0</v>
      </c>
      <c r="J7" s="111">
        <v>2.12</v>
      </c>
      <c r="L7" s="111">
        <v>0</v>
      </c>
      <c r="M7" s="111">
        <v>0</v>
      </c>
    </row>
    <row r="8" spans="1:13">
      <c r="A8" s="106" t="s">
        <v>12</v>
      </c>
      <c r="C8" s="111">
        <v>0</v>
      </c>
      <c r="D8" s="111">
        <v>0</v>
      </c>
      <c r="E8" s="111">
        <v>19.920000000000002</v>
      </c>
      <c r="F8" s="111">
        <v>11.75</v>
      </c>
      <c r="H8" s="111">
        <v>0</v>
      </c>
      <c r="I8" s="111">
        <v>0</v>
      </c>
      <c r="J8" s="111">
        <v>0</v>
      </c>
      <c r="L8" s="111">
        <v>0</v>
      </c>
      <c r="M8" s="111">
        <v>0</v>
      </c>
    </row>
    <row r="9" spans="1:13">
      <c r="A9" s="106" t="s">
        <v>13</v>
      </c>
      <c r="C9" s="111">
        <v>0</v>
      </c>
      <c r="D9" s="111">
        <v>0</v>
      </c>
      <c r="E9" s="111">
        <v>7.52</v>
      </c>
      <c r="F9" s="111">
        <v>7.64</v>
      </c>
      <c r="H9" s="111">
        <v>0</v>
      </c>
      <c r="I9" s="111">
        <v>0</v>
      </c>
      <c r="J9" s="111">
        <v>0</v>
      </c>
      <c r="L9" s="111">
        <v>0</v>
      </c>
      <c r="M9" s="111">
        <v>0</v>
      </c>
    </row>
    <row r="10" spans="1:13">
      <c r="A10" s="106" t="s">
        <v>14</v>
      </c>
      <c r="C10" s="111">
        <v>1474.8262643506835</v>
      </c>
      <c r="D10" s="111">
        <v>1472.8608867945193</v>
      </c>
      <c r="E10" s="111">
        <v>4060.72</v>
      </c>
      <c r="F10" s="111">
        <v>4124.82</v>
      </c>
      <c r="H10" s="111">
        <v>291.96282871232881</v>
      </c>
      <c r="I10" s="111">
        <v>3.3494202739726027</v>
      </c>
      <c r="J10" s="111">
        <v>121.66</v>
      </c>
      <c r="L10" s="111">
        <v>1991.7884160000001</v>
      </c>
      <c r="M10" s="111">
        <v>806.77555200000006</v>
      </c>
    </row>
    <row r="11" spans="1:13">
      <c r="A11" s="106" t="s">
        <v>15</v>
      </c>
      <c r="C11" s="111">
        <v>69.12</v>
      </c>
      <c r="D11" s="111">
        <v>0</v>
      </c>
      <c r="E11" s="111">
        <v>72.400000000000006</v>
      </c>
      <c r="F11" s="111">
        <v>58.65</v>
      </c>
      <c r="H11" s="111">
        <v>0</v>
      </c>
      <c r="I11" s="111">
        <v>0</v>
      </c>
      <c r="J11" s="111">
        <v>1.07</v>
      </c>
      <c r="L11" s="111">
        <v>0</v>
      </c>
      <c r="M11" s="111">
        <v>0</v>
      </c>
    </row>
    <row r="12" spans="1:13">
      <c r="A12" s="106" t="s">
        <v>16</v>
      </c>
      <c r="C12" s="111">
        <v>161.00092168767122</v>
      </c>
      <c r="D12" s="111">
        <v>77.759999999999991</v>
      </c>
      <c r="E12" s="111">
        <v>616.89</v>
      </c>
      <c r="F12" s="111">
        <v>179.74</v>
      </c>
      <c r="H12" s="111">
        <v>0</v>
      </c>
      <c r="I12" s="111">
        <v>0</v>
      </c>
      <c r="J12" s="111">
        <v>29.17</v>
      </c>
      <c r="L12" s="111">
        <v>0</v>
      </c>
      <c r="M12" s="111">
        <v>0</v>
      </c>
    </row>
    <row r="13" spans="1:13">
      <c r="A13" s="107" t="s">
        <v>60</v>
      </c>
      <c r="C13" s="112">
        <v>1704.9471860383549</v>
      </c>
      <c r="D13" s="112">
        <v>1550.6208867945193</v>
      </c>
      <c r="E13" s="112">
        <f t="shared" ref="E13:F13" si="0">SUM(E7:E12)</f>
        <v>4780.28</v>
      </c>
      <c r="F13" s="112">
        <f t="shared" si="0"/>
        <v>4385.1499999999987</v>
      </c>
      <c r="H13" s="112">
        <v>291.96282871232881</v>
      </c>
      <c r="I13" s="112">
        <v>3.3494202739726027</v>
      </c>
      <c r="J13" s="112">
        <v>154.02000000000001</v>
      </c>
      <c r="L13" s="112">
        <v>1991.7884160000001</v>
      </c>
      <c r="M13" s="112">
        <v>806.77555200000006</v>
      </c>
    </row>
  </sheetData>
  <mergeCells count="8">
    <mergeCell ref="L6:M6"/>
    <mergeCell ref="A1:M1"/>
    <mergeCell ref="A3:A6"/>
    <mergeCell ref="C3:F3"/>
    <mergeCell ref="H3:J3"/>
    <mergeCell ref="L3:M3"/>
    <mergeCell ref="C6:F6"/>
    <mergeCell ref="H6:J6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5D27A-A58C-4819-8F3E-C6D85023A93D}">
  <dimension ref="A1:O34"/>
  <sheetViews>
    <sheetView workbookViewId="0">
      <selection activeCell="B7" sqref="B7"/>
    </sheetView>
  </sheetViews>
  <sheetFormatPr defaultColWidth="9.125" defaultRowHeight="12.75"/>
  <cols>
    <col min="1" max="1" width="18.75" style="7" customWidth="1"/>
    <col min="2" max="2" width="20.25" style="1" customWidth="1"/>
    <col min="3" max="3" width="15" style="1" bestFit="1" customWidth="1"/>
    <col min="4" max="4" width="13.75" style="1" bestFit="1" customWidth="1"/>
    <col min="5" max="5" width="12.625" style="1" bestFit="1" customWidth="1"/>
    <col min="6" max="6" width="15.25" style="1" bestFit="1" customWidth="1"/>
    <col min="7" max="7" width="2.875" style="1" customWidth="1"/>
    <col min="8" max="8" width="19.75" style="1" bestFit="1" customWidth="1"/>
    <col min="9" max="9" width="17" style="1" bestFit="1" customWidth="1"/>
    <col min="10" max="10" width="11" style="1" bestFit="1" customWidth="1"/>
    <col min="11" max="11" width="15.25" style="1" bestFit="1" customWidth="1"/>
    <col min="12" max="12" width="3.25" style="1" customWidth="1"/>
    <col min="13" max="13" width="6.375" style="1" bestFit="1" customWidth="1"/>
    <col min="14" max="14" width="8" style="1" bestFit="1" customWidth="1"/>
    <col min="15" max="15" width="6" style="1" bestFit="1" customWidth="1"/>
    <col min="16" max="16384" width="9.125" style="1"/>
  </cols>
  <sheetData>
    <row r="1" spans="1:15">
      <c r="A1" s="126" t="s">
        <v>80</v>
      </c>
      <c r="B1" s="126"/>
      <c r="C1" s="126"/>
      <c r="D1" s="126"/>
      <c r="E1" s="126"/>
      <c r="F1" s="126"/>
      <c r="H1" s="126" t="s">
        <v>103</v>
      </c>
      <c r="I1" s="126"/>
      <c r="J1" s="126"/>
      <c r="K1" s="126"/>
      <c r="M1" s="136" t="s">
        <v>70</v>
      </c>
      <c r="N1" s="136"/>
      <c r="O1" s="136"/>
    </row>
    <row r="2" spans="1:15">
      <c r="M2" s="70" t="s">
        <v>62</v>
      </c>
      <c r="N2" s="71">
        <v>6.5949999999999995E-2</v>
      </c>
      <c r="O2" s="71" t="s">
        <v>41</v>
      </c>
    </row>
    <row r="3" spans="1:15">
      <c r="A3" s="49" t="s">
        <v>68</v>
      </c>
      <c r="B3" s="2" t="s">
        <v>79</v>
      </c>
      <c r="H3" s="2" t="s">
        <v>79</v>
      </c>
      <c r="M3" s="70" t="s">
        <v>63</v>
      </c>
      <c r="N3" s="71">
        <f>N4-N2</f>
        <v>8.405E-2</v>
      </c>
      <c r="O3" s="71" t="s">
        <v>41</v>
      </c>
    </row>
    <row r="4" spans="1:15">
      <c r="M4" s="70" t="s">
        <v>64</v>
      </c>
      <c r="N4" s="71">
        <v>0.15</v>
      </c>
      <c r="O4" s="71" t="s">
        <v>41</v>
      </c>
    </row>
    <row r="5" spans="1:15" ht="15" customHeight="1">
      <c r="A5" s="135" t="s">
        <v>36</v>
      </c>
      <c r="B5" s="135" t="s">
        <v>69</v>
      </c>
      <c r="C5" s="135"/>
      <c r="D5" s="135"/>
      <c r="E5" s="135"/>
      <c r="F5" s="135"/>
      <c r="H5" s="135" t="s">
        <v>36</v>
      </c>
      <c r="I5" s="135" t="s">
        <v>130</v>
      </c>
      <c r="J5" s="135"/>
      <c r="K5" s="135"/>
    </row>
    <row r="6" spans="1:15">
      <c r="A6" s="135"/>
      <c r="B6" s="72" t="s">
        <v>1</v>
      </c>
      <c r="C6" s="72" t="s">
        <v>2</v>
      </c>
      <c r="D6" s="72" t="s">
        <v>3</v>
      </c>
      <c r="E6" s="72" t="s">
        <v>4</v>
      </c>
      <c r="F6" s="72" t="s">
        <v>5</v>
      </c>
      <c r="H6" s="135"/>
      <c r="I6" s="72" t="s">
        <v>1</v>
      </c>
      <c r="J6" s="72" t="s">
        <v>3</v>
      </c>
      <c r="K6" s="72" t="s">
        <v>5</v>
      </c>
    </row>
    <row r="7" spans="1:15">
      <c r="A7" s="65" t="s">
        <v>11</v>
      </c>
      <c r="B7" s="66">
        <f>'Demandas '!D7</f>
        <v>0</v>
      </c>
      <c r="C7" s="66">
        <f>'Demandas '!K7</f>
        <v>0</v>
      </c>
      <c r="D7" s="66">
        <f>'Demandas '!N7</f>
        <v>0</v>
      </c>
      <c r="E7" s="67">
        <f>'Demandas '!S7</f>
        <v>0</v>
      </c>
      <c r="F7" s="67">
        <f>'Demandas '!X7</f>
        <v>0</v>
      </c>
      <c r="H7" s="65" t="s">
        <v>11</v>
      </c>
      <c r="I7" s="100">
        <f>'Cargas Poluidoras'!D7*360</f>
        <v>0</v>
      </c>
      <c r="J7" s="100">
        <f>'Cargas Poluidoras'!I7*360</f>
        <v>0</v>
      </c>
      <c r="K7" s="101">
        <f>'Cargas Poluidoras'!M7*360</f>
        <v>0</v>
      </c>
    </row>
    <row r="8" spans="1:15">
      <c r="A8" s="65" t="s">
        <v>12</v>
      </c>
      <c r="B8" s="66">
        <f>'Demandas '!D8</f>
        <v>0</v>
      </c>
      <c r="C8" s="66">
        <f>'Demandas '!K8</f>
        <v>0</v>
      </c>
      <c r="D8" s="66">
        <f>'Demandas '!N8</f>
        <v>0</v>
      </c>
      <c r="E8" s="67">
        <f>'Demandas '!S8</f>
        <v>0</v>
      </c>
      <c r="F8" s="67">
        <f>'Demandas '!X8</f>
        <v>0</v>
      </c>
      <c r="H8" s="65" t="s">
        <v>12</v>
      </c>
      <c r="I8" s="100">
        <f>'Cargas Poluidoras'!D8*360</f>
        <v>0</v>
      </c>
      <c r="J8" s="100">
        <f>'Cargas Poluidoras'!I8*360</f>
        <v>0</v>
      </c>
      <c r="K8" s="101">
        <f>'Cargas Poluidoras'!M8*360</f>
        <v>0</v>
      </c>
    </row>
    <row r="9" spans="1:15">
      <c r="A9" s="65" t="s">
        <v>13</v>
      </c>
      <c r="B9" s="66">
        <f>'Demandas '!D9</f>
        <v>0</v>
      </c>
      <c r="C9" s="66">
        <f>'Demandas '!K9</f>
        <v>0</v>
      </c>
      <c r="D9" s="66">
        <f>'Demandas '!N9</f>
        <v>0</v>
      </c>
      <c r="E9" s="67">
        <f>'Demandas '!S9</f>
        <v>0</v>
      </c>
      <c r="F9" s="67">
        <f>'Demandas '!X9</f>
        <v>0</v>
      </c>
      <c r="H9" s="65" t="s">
        <v>13</v>
      </c>
      <c r="I9" s="100">
        <f>'Cargas Poluidoras'!D9*360</f>
        <v>0</v>
      </c>
      <c r="J9" s="100">
        <f>'Cargas Poluidoras'!I9*360</f>
        <v>0</v>
      </c>
      <c r="K9" s="101">
        <f>'Cargas Poluidoras'!M9*360</f>
        <v>0</v>
      </c>
    </row>
    <row r="10" spans="1:15">
      <c r="A10" s="65" t="s">
        <v>14</v>
      </c>
      <c r="B10" s="66">
        <f>'Demandas '!D10</f>
        <v>1.4279999999999999</v>
      </c>
      <c r="C10" s="66">
        <f>'Demandas '!K10</f>
        <v>0</v>
      </c>
      <c r="D10" s="66">
        <f>'Demandas '!N10</f>
        <v>0.23543264205986808</v>
      </c>
      <c r="E10" s="67">
        <f>'Demandas '!S10</f>
        <v>0</v>
      </c>
      <c r="F10" s="67">
        <f>'Demandas '!X10</f>
        <v>1.1408401826484014</v>
      </c>
      <c r="H10" s="65" t="s">
        <v>14</v>
      </c>
      <c r="I10" s="100">
        <f>'Cargas Poluidoras'!D10*360</f>
        <v>530229.9192460269</v>
      </c>
      <c r="J10" s="100">
        <f>'Cargas Poluidoras'!I10*360</f>
        <v>1205.7912986301369</v>
      </c>
      <c r="K10" s="101">
        <f>'Cargas Poluidoras'!M10*360</f>
        <v>290439.19872000004</v>
      </c>
    </row>
    <row r="11" spans="1:15">
      <c r="A11" s="65" t="s">
        <v>15</v>
      </c>
      <c r="B11" s="66">
        <f>'Demandas '!D11</f>
        <v>0</v>
      </c>
      <c r="C11" s="66">
        <f>'Demandas '!K11</f>
        <v>0</v>
      </c>
      <c r="D11" s="66">
        <f>'Demandas '!N11</f>
        <v>0</v>
      </c>
      <c r="E11" s="67">
        <f>'Demandas '!S11</f>
        <v>0</v>
      </c>
      <c r="F11" s="67">
        <f>'Demandas '!X11</f>
        <v>0</v>
      </c>
      <c r="H11" s="65" t="s">
        <v>15</v>
      </c>
      <c r="I11" s="100">
        <f>'Cargas Poluidoras'!D11*360</f>
        <v>0</v>
      </c>
      <c r="J11" s="100">
        <f>'Cargas Poluidoras'!I11*360</f>
        <v>0</v>
      </c>
      <c r="K11" s="101">
        <f>'Cargas Poluidoras'!M11*360</f>
        <v>0</v>
      </c>
    </row>
    <row r="12" spans="1:15">
      <c r="A12" s="65" t="s">
        <v>16</v>
      </c>
      <c r="B12" s="66">
        <f>'Demandas '!D12</f>
        <v>0</v>
      </c>
      <c r="C12" s="66">
        <f>'Demandas '!K12</f>
        <v>0</v>
      </c>
      <c r="D12" s="66">
        <f>'Demandas '!N12</f>
        <v>6.2572298325722976E-4</v>
      </c>
      <c r="E12" s="67">
        <f>'Demandas '!S12</f>
        <v>0</v>
      </c>
      <c r="F12" s="67">
        <f>'Demandas '!X12</f>
        <v>0</v>
      </c>
      <c r="H12" s="65" t="s">
        <v>16</v>
      </c>
      <c r="I12" s="100">
        <f>'Cargas Poluidoras'!D12*360</f>
        <v>27993.599999999999</v>
      </c>
      <c r="J12" s="100">
        <f>'Cargas Poluidoras'!I12*360</f>
        <v>0</v>
      </c>
      <c r="K12" s="101">
        <f>'Cargas Poluidoras'!M12*360</f>
        <v>0</v>
      </c>
    </row>
    <row r="13" spans="1:15">
      <c r="H13" s="7"/>
    </row>
    <row r="14" spans="1:15">
      <c r="A14" s="49" t="s">
        <v>71</v>
      </c>
      <c r="B14" s="2" t="s">
        <v>78</v>
      </c>
      <c r="H14" s="2" t="s">
        <v>78</v>
      </c>
      <c r="I14" s="2"/>
    </row>
    <row r="15" spans="1:15">
      <c r="H15" s="7"/>
    </row>
    <row r="16" spans="1:15">
      <c r="A16" s="137" t="s">
        <v>36</v>
      </c>
      <c r="B16" s="137" t="s">
        <v>69</v>
      </c>
      <c r="C16" s="137"/>
      <c r="D16" s="137"/>
      <c r="E16" s="137"/>
      <c r="F16" s="137"/>
      <c r="H16" s="137" t="s">
        <v>36</v>
      </c>
      <c r="I16" s="137" t="s">
        <v>130</v>
      </c>
      <c r="J16" s="137"/>
      <c r="K16" s="137"/>
    </row>
    <row r="17" spans="1:11">
      <c r="A17" s="137"/>
      <c r="B17" s="68" t="s">
        <v>1</v>
      </c>
      <c r="C17" s="68" t="s">
        <v>2</v>
      </c>
      <c r="D17" s="68" t="s">
        <v>3</v>
      </c>
      <c r="E17" s="68" t="s">
        <v>4</v>
      </c>
      <c r="F17" s="68" t="s">
        <v>5</v>
      </c>
      <c r="H17" s="137"/>
      <c r="I17" s="68" t="s">
        <v>1</v>
      </c>
      <c r="J17" s="68" t="s">
        <v>3</v>
      </c>
      <c r="K17" s="68" t="s">
        <v>5</v>
      </c>
    </row>
    <row r="18" spans="1:11">
      <c r="A18" s="65" t="s">
        <v>11</v>
      </c>
      <c r="B18" s="66">
        <f>'Demandas '!C7</f>
        <v>0</v>
      </c>
      <c r="C18" s="66">
        <f>'Demandas '!J7</f>
        <v>0</v>
      </c>
      <c r="D18" s="66">
        <f>'Demandas '!M7</f>
        <v>0</v>
      </c>
      <c r="E18" s="67">
        <f>'Demandas '!R7</f>
        <v>0</v>
      </c>
      <c r="F18" s="67">
        <f>'Demandas '!W7</f>
        <v>0</v>
      </c>
      <c r="H18" s="65" t="s">
        <v>11</v>
      </c>
      <c r="I18" s="100">
        <f>'Cargas Poluidoras'!C7*360</f>
        <v>0</v>
      </c>
      <c r="J18" s="100">
        <f>'Cargas Poluidoras'!H7*360</f>
        <v>0</v>
      </c>
      <c r="K18" s="101">
        <f>'Cargas Poluidoras'!L7*360</f>
        <v>0</v>
      </c>
    </row>
    <row r="19" spans="1:11">
      <c r="A19" s="65" t="s">
        <v>12</v>
      </c>
      <c r="B19" s="66">
        <f>'Demandas '!C8</f>
        <v>2.7463013698630135E-3</v>
      </c>
      <c r="C19" s="66">
        <f>'Demandas '!J8</f>
        <v>0</v>
      </c>
      <c r="D19" s="66">
        <f>'Demandas '!M8</f>
        <v>0</v>
      </c>
      <c r="E19" s="67">
        <f>'Demandas '!R8</f>
        <v>0</v>
      </c>
      <c r="F19" s="67">
        <f>'Demandas '!W8</f>
        <v>0</v>
      </c>
      <c r="H19" s="65" t="s">
        <v>12</v>
      </c>
      <c r="I19" s="100">
        <f>'Cargas Poluidoras'!C8*360</f>
        <v>0</v>
      </c>
      <c r="J19" s="100">
        <f>'Cargas Poluidoras'!H8*360</f>
        <v>0</v>
      </c>
      <c r="K19" s="101">
        <f>'Cargas Poluidoras'!L8*360</f>
        <v>0</v>
      </c>
    </row>
    <row r="20" spans="1:11">
      <c r="A20" s="65" t="s">
        <v>13</v>
      </c>
      <c r="B20" s="66">
        <f>'Demandas '!C9</f>
        <v>0</v>
      </c>
      <c r="C20" s="66">
        <f>'Demandas '!J9</f>
        <v>0</v>
      </c>
      <c r="D20" s="66">
        <f>'Demandas '!M9</f>
        <v>0</v>
      </c>
      <c r="E20" s="67">
        <f>'Demandas '!R9</f>
        <v>0</v>
      </c>
      <c r="F20" s="67">
        <f>'Demandas '!W9</f>
        <v>0</v>
      </c>
      <c r="H20" s="65" t="s">
        <v>13</v>
      </c>
      <c r="I20" s="100">
        <f>'Cargas Poluidoras'!C9*360</f>
        <v>0</v>
      </c>
      <c r="J20" s="100">
        <f>'Cargas Poluidoras'!H9*360</f>
        <v>0</v>
      </c>
      <c r="K20" s="101">
        <f>'Cargas Poluidoras'!L9*360</f>
        <v>0</v>
      </c>
    </row>
    <row r="21" spans="1:11">
      <c r="A21" s="65" t="s">
        <v>14</v>
      </c>
      <c r="B21" s="66">
        <f>'Demandas '!C10</f>
        <v>1.5378496004566211</v>
      </c>
      <c r="C21" s="66">
        <f>'Demandas '!J10</f>
        <v>0</v>
      </c>
      <c r="D21" s="66">
        <f>'Demandas '!M10</f>
        <v>0.27297475266362253</v>
      </c>
      <c r="E21" s="67">
        <f>'Demandas '!R10</f>
        <v>2.0091324200913243E-4</v>
      </c>
      <c r="F21" s="67">
        <f>'Demandas '!W10</f>
        <v>2.0501472602739725</v>
      </c>
      <c r="H21" s="65" t="s">
        <v>14</v>
      </c>
      <c r="I21" s="100">
        <f>'Cargas Poluidoras'!C10*360</f>
        <v>530937.45516624604</v>
      </c>
      <c r="J21" s="100">
        <f>'Cargas Poluidoras'!H10*360</f>
        <v>105106.61833643838</v>
      </c>
      <c r="K21" s="101">
        <f>'Cargas Poluidoras'!L10*360</f>
        <v>717043.82975999999</v>
      </c>
    </row>
    <row r="22" spans="1:11">
      <c r="A22" s="65" t="s">
        <v>15</v>
      </c>
      <c r="B22" s="66">
        <f>'Demandas '!C11</f>
        <v>2.5337899543378998E-3</v>
      </c>
      <c r="C22" s="66">
        <f>'Demandas '!J11</f>
        <v>0.32585412480974124</v>
      </c>
      <c r="D22" s="66">
        <f>'Demandas '!M11</f>
        <v>0</v>
      </c>
      <c r="E22" s="67">
        <f>'Demandas '!R11</f>
        <v>2.0795281582952816E-4</v>
      </c>
      <c r="F22" s="67">
        <f>'Demandas '!W11</f>
        <v>0</v>
      </c>
      <c r="H22" s="65" t="s">
        <v>15</v>
      </c>
      <c r="I22" s="100">
        <f>'Cargas Poluidoras'!C11*360</f>
        <v>24883.200000000001</v>
      </c>
      <c r="J22" s="100">
        <f>'Cargas Poluidoras'!H11*360</f>
        <v>0</v>
      </c>
      <c r="K22" s="101">
        <f>'Cargas Poluidoras'!L11*360</f>
        <v>0</v>
      </c>
    </row>
    <row r="23" spans="1:11">
      <c r="A23" s="65" t="s">
        <v>16</v>
      </c>
      <c r="B23" s="66">
        <f>'Demandas '!C12</f>
        <v>3.9222222222222193E-2</v>
      </c>
      <c r="C23" s="66">
        <f>'Demandas '!J12</f>
        <v>0</v>
      </c>
      <c r="D23" s="66">
        <f>'Demandas '!M12</f>
        <v>1.5498985286656519E-3</v>
      </c>
      <c r="E23" s="67">
        <f>'Demandas '!R12</f>
        <v>2.7207001522070015E-4</v>
      </c>
      <c r="F23" s="67">
        <f>'Demandas '!W12</f>
        <v>0</v>
      </c>
      <c r="H23" s="65" t="s">
        <v>16</v>
      </c>
      <c r="I23" s="100">
        <f>'Cargas Poluidoras'!C12*360</f>
        <v>57960.331807561641</v>
      </c>
      <c r="J23" s="100">
        <f>'Cargas Poluidoras'!H12*360</f>
        <v>0</v>
      </c>
      <c r="K23" s="101">
        <f>'Cargas Poluidoras'!L12*360</f>
        <v>0</v>
      </c>
    </row>
    <row r="24" spans="1:11">
      <c r="H24" s="7"/>
    </row>
    <row r="25" spans="1:11">
      <c r="A25" s="49" t="s">
        <v>104</v>
      </c>
      <c r="B25" s="2" t="s">
        <v>77</v>
      </c>
      <c r="H25" s="2" t="s">
        <v>105</v>
      </c>
    </row>
    <row r="26" spans="1:11">
      <c r="H26" s="7"/>
    </row>
    <row r="27" spans="1:11">
      <c r="A27" s="134" t="s">
        <v>36</v>
      </c>
      <c r="B27" s="134" t="s">
        <v>69</v>
      </c>
      <c r="C27" s="134"/>
      <c r="D27" s="134"/>
      <c r="E27" s="134"/>
      <c r="F27" s="134"/>
      <c r="H27" s="134" t="s">
        <v>36</v>
      </c>
      <c r="I27" s="134" t="s">
        <v>69</v>
      </c>
      <c r="J27" s="134"/>
      <c r="K27" s="134"/>
    </row>
    <row r="28" spans="1:11">
      <c r="A28" s="134"/>
      <c r="B28" s="69" t="s">
        <v>1</v>
      </c>
      <c r="C28" s="69" t="s">
        <v>2</v>
      </c>
      <c r="D28" s="69" t="s">
        <v>3</v>
      </c>
      <c r="E28" s="69" t="s">
        <v>4</v>
      </c>
      <c r="F28" s="69" t="s">
        <v>5</v>
      </c>
      <c r="H28" s="134"/>
      <c r="I28" s="69" t="s">
        <v>1</v>
      </c>
      <c r="J28" s="69" t="s">
        <v>3</v>
      </c>
      <c r="K28" s="69" t="s">
        <v>5</v>
      </c>
    </row>
    <row r="29" spans="1:11">
      <c r="A29" s="65" t="s">
        <v>11</v>
      </c>
      <c r="B29" s="66">
        <f>'Demandas '!G7</f>
        <v>0</v>
      </c>
      <c r="C29" s="66">
        <f>'Demandas '!J7</f>
        <v>0</v>
      </c>
      <c r="D29" s="66">
        <f>'Demandas '!P7</f>
        <v>0</v>
      </c>
      <c r="E29" s="67">
        <f>'Demandas '!T7</f>
        <v>1E-3</v>
      </c>
      <c r="F29" s="67">
        <f>'Demandas '!W7</f>
        <v>0</v>
      </c>
      <c r="H29" s="65" t="s">
        <v>11</v>
      </c>
      <c r="I29" s="100">
        <f>'Cargas Poluidoras'!E7*360</f>
        <v>1018.8000000000001</v>
      </c>
      <c r="J29" s="100">
        <f>'Cargas Poluidoras'!J7*360</f>
        <v>763.2</v>
      </c>
      <c r="K29" s="101">
        <f>'Cargas Poluidoras'!L7*360</f>
        <v>0</v>
      </c>
    </row>
    <row r="30" spans="1:11">
      <c r="A30" s="65" t="s">
        <v>12</v>
      </c>
      <c r="B30" s="66">
        <f>'Demandas '!G8</f>
        <v>2.5000000000000001E-3</v>
      </c>
      <c r="C30" s="66">
        <f>'Demandas '!J8</f>
        <v>0</v>
      </c>
      <c r="D30" s="66">
        <f>'Demandas '!P8</f>
        <v>0</v>
      </c>
      <c r="E30" s="67">
        <f>'Demandas '!T8</f>
        <v>1E-3</v>
      </c>
      <c r="F30" s="67">
        <f>'Demandas '!W8</f>
        <v>0</v>
      </c>
      <c r="H30" s="65" t="s">
        <v>12</v>
      </c>
      <c r="I30" s="100">
        <f>'Cargas Poluidoras'!E8*360</f>
        <v>7171.2000000000007</v>
      </c>
      <c r="J30" s="100">
        <f>'Cargas Poluidoras'!J8*360</f>
        <v>0</v>
      </c>
      <c r="K30" s="101">
        <f>'Cargas Poluidoras'!L8*360</f>
        <v>0</v>
      </c>
    </row>
    <row r="31" spans="1:11">
      <c r="A31" s="65" t="s">
        <v>13</v>
      </c>
      <c r="B31" s="66">
        <f>'Demandas '!G9</f>
        <v>2.0000000000000001E-4</v>
      </c>
      <c r="C31" s="66">
        <f>'Demandas '!J9</f>
        <v>0</v>
      </c>
      <c r="D31" s="66">
        <f>'Demandas '!P9</f>
        <v>0</v>
      </c>
      <c r="E31" s="67">
        <f>'Demandas '!T9</f>
        <v>8.0000000000000002E-3</v>
      </c>
      <c r="F31" s="67">
        <f>'Demandas '!W9</f>
        <v>0</v>
      </c>
      <c r="H31" s="65" t="s">
        <v>13</v>
      </c>
      <c r="I31" s="100">
        <f>'Cargas Poluidoras'!E9*360</f>
        <v>2707.2</v>
      </c>
      <c r="J31" s="100">
        <f>'Cargas Poluidoras'!J9*360</f>
        <v>0</v>
      </c>
      <c r="K31" s="101">
        <f>'Cargas Poluidoras'!L9*360</f>
        <v>0</v>
      </c>
    </row>
    <row r="32" spans="1:11">
      <c r="A32" s="65" t="s">
        <v>14</v>
      </c>
      <c r="B32" s="66">
        <f>'Demandas '!G10</f>
        <v>1.1142000000000001</v>
      </c>
      <c r="C32" s="66">
        <f>'Demandas '!J10</f>
        <v>0</v>
      </c>
      <c r="D32" s="66">
        <f>'Demandas '!P10</f>
        <v>0.74039999999999995</v>
      </c>
      <c r="E32" s="67">
        <f>'Demandas '!T10</f>
        <v>1.4E-2</v>
      </c>
      <c r="F32" s="67">
        <f>'Demandas '!W10</f>
        <v>2.0501472602739725</v>
      </c>
      <c r="H32" s="65" t="s">
        <v>14</v>
      </c>
      <c r="I32" s="100">
        <f>'Cargas Poluidoras'!E10*360</f>
        <v>1461859.2</v>
      </c>
      <c r="J32" s="100">
        <f>'Cargas Poluidoras'!J10*360</f>
        <v>43797.599999999999</v>
      </c>
      <c r="K32" s="101">
        <f>'Cargas Poluidoras'!L10*360</f>
        <v>717043.82975999999</v>
      </c>
    </row>
    <row r="33" spans="1:11">
      <c r="A33" s="65" t="s">
        <v>15</v>
      </c>
      <c r="B33" s="66">
        <f>'Demandas '!G11</f>
        <v>1.2699999999999999E-2</v>
      </c>
      <c r="C33" s="66">
        <f>'Demandas '!J11</f>
        <v>0.32585412480974124</v>
      </c>
      <c r="D33" s="66">
        <f>'Demandas '!P11</f>
        <v>0</v>
      </c>
      <c r="E33" s="67">
        <f>'Demandas '!T11</f>
        <v>4.0000000000000001E-3</v>
      </c>
      <c r="F33" s="67">
        <f>'Demandas '!W11</f>
        <v>0</v>
      </c>
      <c r="H33" s="65" t="s">
        <v>15</v>
      </c>
      <c r="I33" s="100">
        <f>'Cargas Poluidoras'!E11*360</f>
        <v>26064.000000000004</v>
      </c>
      <c r="J33" s="100">
        <f>'Cargas Poluidoras'!J11*360</f>
        <v>385.20000000000005</v>
      </c>
      <c r="K33" s="101">
        <f>'Cargas Poluidoras'!L11*360</f>
        <v>0</v>
      </c>
    </row>
    <row r="34" spans="1:11">
      <c r="A34" s="65" t="s">
        <v>16</v>
      </c>
      <c r="B34" s="66">
        <f>'Demandas '!G12</f>
        <v>0.46760000000000002</v>
      </c>
      <c r="C34" s="66">
        <f>'Demandas '!J12</f>
        <v>0</v>
      </c>
      <c r="D34" s="66">
        <f>'Demandas '!P12</f>
        <v>5.9999999999999995E-4</v>
      </c>
      <c r="E34" s="67">
        <f>'Demandas '!T12</f>
        <v>4.0000000000000001E-3</v>
      </c>
      <c r="F34" s="67">
        <f>'Demandas '!W12</f>
        <v>0</v>
      </c>
      <c r="H34" s="65" t="s">
        <v>16</v>
      </c>
      <c r="I34" s="100">
        <f>'Cargas Poluidoras'!E12*360</f>
        <v>222080.4</v>
      </c>
      <c r="J34" s="100">
        <f>'Cargas Poluidoras'!J12*360</f>
        <v>10501.2</v>
      </c>
      <c r="K34" s="101">
        <f>'Cargas Poluidoras'!L12*360</f>
        <v>0</v>
      </c>
    </row>
  </sheetData>
  <mergeCells count="15">
    <mergeCell ref="A27:A28"/>
    <mergeCell ref="B27:F27"/>
    <mergeCell ref="B5:F5"/>
    <mergeCell ref="A5:A6"/>
    <mergeCell ref="M1:O1"/>
    <mergeCell ref="A16:A17"/>
    <mergeCell ref="B16:F16"/>
    <mergeCell ref="A1:F1"/>
    <mergeCell ref="H5:H6"/>
    <mergeCell ref="I5:K5"/>
    <mergeCell ref="H16:H17"/>
    <mergeCell ref="I16:K16"/>
    <mergeCell ref="H27:H28"/>
    <mergeCell ref="I27:K27"/>
    <mergeCell ref="H1:K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1A572-EDE3-41DE-BE5B-CDEF7D94DD1A}">
  <dimension ref="A1:T50"/>
  <sheetViews>
    <sheetView tabSelected="1" topLeftCell="G10" zoomScale="85" zoomScaleNormal="85" workbookViewId="0">
      <selection activeCell="J16" sqref="J16"/>
    </sheetView>
  </sheetViews>
  <sheetFormatPr defaultColWidth="9.125" defaultRowHeight="12"/>
  <cols>
    <col min="1" max="1" width="18.75" style="8" bestFit="1" customWidth="1"/>
    <col min="2" max="2" width="14.75" style="11" customWidth="1"/>
    <col min="3" max="3" width="14.125" style="11" bestFit="1" customWidth="1"/>
    <col min="4" max="4" width="9.875" style="11" bestFit="1" customWidth="1"/>
    <col min="5" max="5" width="10.125" style="11" bestFit="1" customWidth="1"/>
    <col min="6" max="6" width="13.75" style="11" bestFit="1" customWidth="1"/>
    <col min="7" max="7" width="1.625" style="8" customWidth="1"/>
    <col min="8" max="8" width="18.75" style="8" bestFit="1" customWidth="1"/>
    <col min="9" max="9" width="15.875" style="8" bestFit="1" customWidth="1"/>
    <col min="10" max="10" width="13.875" style="8" bestFit="1" customWidth="1"/>
    <col min="11" max="11" width="10" style="8" bestFit="1" customWidth="1"/>
    <col min="12" max="12" width="10.625" style="8" bestFit="1" customWidth="1"/>
    <col min="13" max="13" width="14.125" style="8" bestFit="1" customWidth="1"/>
    <col min="14" max="14" width="1.375" style="8" customWidth="1"/>
    <col min="15" max="15" width="17.25" style="8" customWidth="1"/>
    <col min="16" max="16" width="15.875" style="8" bestFit="1" customWidth="1"/>
    <col min="17" max="17" width="13.875" style="8" bestFit="1" customWidth="1"/>
    <col min="18" max="18" width="10" style="8" bestFit="1" customWidth="1"/>
    <col min="19" max="19" width="10.625" style="8" bestFit="1" customWidth="1"/>
    <col min="20" max="20" width="14.125" style="8" bestFit="1" customWidth="1"/>
    <col min="21" max="16384" width="9.125" style="8"/>
  </cols>
  <sheetData>
    <row r="1" spans="1:20">
      <c r="A1" s="151" t="s">
        <v>75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</row>
    <row r="2" spans="1:20" ht="7.5" customHeight="1" thickBot="1"/>
    <row r="3" spans="1:20" ht="15" customHeight="1">
      <c r="A3" s="62" t="s">
        <v>72</v>
      </c>
      <c r="B3" s="141" t="s">
        <v>120</v>
      </c>
      <c r="C3" s="142"/>
      <c r="D3" s="142"/>
      <c r="E3" s="142"/>
      <c r="F3" s="143"/>
      <c r="H3" s="62" t="s">
        <v>72</v>
      </c>
      <c r="I3" s="141" t="s">
        <v>121</v>
      </c>
      <c r="J3" s="142"/>
      <c r="K3" s="142"/>
      <c r="L3" s="142"/>
      <c r="M3" s="143"/>
      <c r="O3" s="62" t="s">
        <v>72</v>
      </c>
      <c r="P3" s="141" t="s">
        <v>122</v>
      </c>
      <c r="Q3" s="142"/>
      <c r="R3" s="142"/>
      <c r="S3" s="142"/>
      <c r="T3" s="143"/>
    </row>
    <row r="4" spans="1:20">
      <c r="A4" s="63" t="s">
        <v>73</v>
      </c>
      <c r="B4" s="138">
        <f>'Cenário B.1.1'!C4</f>
        <v>6.5949999999999995E-2</v>
      </c>
      <c r="C4" s="139"/>
      <c r="D4" s="139"/>
      <c r="E4" s="139"/>
      <c r="F4" s="140"/>
      <c r="H4" s="63" t="s">
        <v>73</v>
      </c>
      <c r="I4" s="138">
        <f>'Base Cenários'!N2</f>
        <v>6.5949999999999995E-2</v>
      </c>
      <c r="J4" s="139"/>
      <c r="K4" s="139"/>
      <c r="L4" s="139"/>
      <c r="M4" s="140"/>
      <c r="O4" s="63" t="s">
        <v>73</v>
      </c>
      <c r="P4" s="138">
        <f>'Base Cenários'!N2</f>
        <v>6.5949999999999995E-2</v>
      </c>
      <c r="Q4" s="139"/>
      <c r="R4" s="139"/>
      <c r="S4" s="139"/>
      <c r="T4" s="140"/>
    </row>
    <row r="5" spans="1:20">
      <c r="A5" s="63" t="s">
        <v>74</v>
      </c>
      <c r="B5" s="138" t="str">
        <f>'Base Cenários'!B3</f>
        <v>Processos de outorga outorgados</v>
      </c>
      <c r="C5" s="139"/>
      <c r="D5" s="139"/>
      <c r="E5" s="139"/>
      <c r="F5" s="140"/>
      <c r="H5" s="63" t="s">
        <v>74</v>
      </c>
      <c r="I5" s="138" t="str">
        <f>'Base Cenários'!B14</f>
        <v>Processos de outorga em análise e outorgados</v>
      </c>
      <c r="J5" s="139"/>
      <c r="K5" s="139"/>
      <c r="L5" s="139"/>
      <c r="M5" s="140"/>
      <c r="O5" s="63" t="s">
        <v>74</v>
      </c>
      <c r="P5" s="138" t="str">
        <f>'Base Cenários'!B25</f>
        <v>Maiores demandas hídricas</v>
      </c>
      <c r="Q5" s="139"/>
      <c r="R5" s="139"/>
      <c r="S5" s="139"/>
      <c r="T5" s="140"/>
    </row>
    <row r="6" spans="1:20" ht="7.5" customHeight="1">
      <c r="A6" s="56"/>
      <c r="F6" s="64"/>
      <c r="H6" s="56"/>
      <c r="I6" s="11"/>
      <c r="J6" s="11"/>
      <c r="K6" s="11"/>
      <c r="L6" s="11"/>
      <c r="M6" s="64"/>
      <c r="O6" s="56"/>
      <c r="P6" s="11"/>
      <c r="Q6" s="11"/>
      <c r="R6" s="11"/>
      <c r="S6" s="11"/>
      <c r="T6" s="64"/>
    </row>
    <row r="7" spans="1:20">
      <c r="A7" s="146" t="s">
        <v>47</v>
      </c>
      <c r="B7" s="147"/>
      <c r="C7" s="147"/>
      <c r="D7" s="147"/>
      <c r="E7" s="147"/>
      <c r="F7" s="148"/>
      <c r="H7" s="146" t="s">
        <v>47</v>
      </c>
      <c r="I7" s="147"/>
      <c r="J7" s="147"/>
      <c r="K7" s="147"/>
      <c r="L7" s="147"/>
      <c r="M7" s="148"/>
      <c r="O7" s="146" t="s">
        <v>47</v>
      </c>
      <c r="P7" s="147"/>
      <c r="Q7" s="147"/>
      <c r="R7" s="147"/>
      <c r="S7" s="147"/>
      <c r="T7" s="148"/>
    </row>
    <row r="8" spans="1:20">
      <c r="A8" s="149" t="s">
        <v>45</v>
      </c>
      <c r="B8" s="35" t="s">
        <v>1</v>
      </c>
      <c r="C8" s="35" t="s">
        <v>2</v>
      </c>
      <c r="D8" s="35" t="s">
        <v>3</v>
      </c>
      <c r="E8" s="35" t="s">
        <v>4</v>
      </c>
      <c r="F8" s="55" t="s">
        <v>5</v>
      </c>
      <c r="H8" s="149" t="s">
        <v>45</v>
      </c>
      <c r="I8" s="35" t="s">
        <v>1</v>
      </c>
      <c r="J8" s="35" t="s">
        <v>2</v>
      </c>
      <c r="K8" s="35" t="s">
        <v>3</v>
      </c>
      <c r="L8" s="35" t="s">
        <v>4</v>
      </c>
      <c r="M8" s="55" t="s">
        <v>5</v>
      </c>
      <c r="O8" s="149" t="s">
        <v>45</v>
      </c>
      <c r="P8" s="35" t="s">
        <v>1</v>
      </c>
      <c r="Q8" s="35" t="s">
        <v>2</v>
      </c>
      <c r="R8" s="35" t="s">
        <v>3</v>
      </c>
      <c r="S8" s="35" t="s">
        <v>4</v>
      </c>
      <c r="T8" s="55" t="s">
        <v>5</v>
      </c>
    </row>
    <row r="9" spans="1:20">
      <c r="A9" s="150"/>
      <c r="B9" s="144" t="s">
        <v>48</v>
      </c>
      <c r="C9" s="144"/>
      <c r="D9" s="144"/>
      <c r="E9" s="144"/>
      <c r="F9" s="145"/>
      <c r="H9" s="150"/>
      <c r="I9" s="144" t="s">
        <v>48</v>
      </c>
      <c r="J9" s="144"/>
      <c r="K9" s="144"/>
      <c r="L9" s="144"/>
      <c r="M9" s="145"/>
      <c r="O9" s="150"/>
      <c r="P9" s="144" t="s">
        <v>48</v>
      </c>
      <c r="Q9" s="144"/>
      <c r="R9" s="144"/>
      <c r="S9" s="144"/>
      <c r="T9" s="145"/>
    </row>
    <row r="10" spans="1:20">
      <c r="A10" s="56" t="s">
        <v>11</v>
      </c>
      <c r="B10" s="58">
        <f>'Cenário B.1.1'!I9</f>
        <v>0</v>
      </c>
      <c r="C10" s="58">
        <f>'Cenário B.1.1'!J9</f>
        <v>0</v>
      </c>
      <c r="D10" s="58">
        <f>'Cenário B.1.1'!K9</f>
        <v>0</v>
      </c>
      <c r="E10" s="58">
        <f>'Cenário B.1.1'!L9</f>
        <v>0</v>
      </c>
      <c r="F10" s="59">
        <f>'Cenário B.1.1'!M9</f>
        <v>0</v>
      </c>
      <c r="H10" s="56" t="s">
        <v>11</v>
      </c>
      <c r="I10" s="58">
        <f>'Cenário B.2.1'!I9</f>
        <v>0</v>
      </c>
      <c r="J10" s="58">
        <f>'Cenário B.2.1'!J9</f>
        <v>0</v>
      </c>
      <c r="K10" s="58">
        <f>'Cenário B.2.1'!K9</f>
        <v>0</v>
      </c>
      <c r="L10" s="58">
        <f>'Cenário B.2.1'!L9</f>
        <v>0</v>
      </c>
      <c r="M10" s="59">
        <f>'Cenário B.2.1'!M9</f>
        <v>0</v>
      </c>
      <c r="O10" s="56" t="s">
        <v>11</v>
      </c>
      <c r="P10" s="58">
        <f>'Cenário B.3.1'!I9</f>
        <v>4.3237213726319824E-5</v>
      </c>
      <c r="Q10" s="58">
        <f>'Cenário B.3.1'!J9</f>
        <v>0</v>
      </c>
      <c r="R10" s="58">
        <f>'Cenário B.3.1'!K9</f>
        <v>1.3389946218169167E-7</v>
      </c>
      <c r="S10" s="58">
        <f>'Cenário B.3.1'!L9</f>
        <v>1.23267007935883E-4</v>
      </c>
      <c r="T10" s="59">
        <f>'Cenário B.3.1'!M9</f>
        <v>0</v>
      </c>
    </row>
    <row r="11" spans="1:20">
      <c r="A11" s="56" t="s">
        <v>12</v>
      </c>
      <c r="B11" s="58">
        <f>'Cenário B.1.1'!I10</f>
        <v>0</v>
      </c>
      <c r="C11" s="58">
        <f>'Cenário B.1.1'!J10</f>
        <v>0</v>
      </c>
      <c r="D11" s="58">
        <f>'Cenário B.1.1'!K10</f>
        <v>0</v>
      </c>
      <c r="E11" s="58">
        <f>'Cenário B.1.1'!L10</f>
        <v>0</v>
      </c>
      <c r="F11" s="59">
        <f>'Cenário B.1.1'!M10</f>
        <v>0</v>
      </c>
      <c r="H11" s="56" t="s">
        <v>12</v>
      </c>
      <c r="I11" s="58">
        <f>'Cenário B.2.1'!I10</f>
        <v>5.7176477363274944E-4</v>
      </c>
      <c r="J11" s="58">
        <f>'Cenário B.2.1'!J10</f>
        <v>0</v>
      </c>
      <c r="K11" s="58">
        <f>'Cenário B.2.1'!K10</f>
        <v>0</v>
      </c>
      <c r="L11" s="58">
        <f>'Cenário B.2.1'!L10</f>
        <v>0</v>
      </c>
      <c r="M11" s="59">
        <f>'Cenário B.2.1'!M10</f>
        <v>0</v>
      </c>
      <c r="O11" s="56" t="s">
        <v>12</v>
      </c>
      <c r="P11" s="58">
        <f>'Cenário B.3.1'!I10</f>
        <v>5.5204809132837441E-4</v>
      </c>
      <c r="Q11" s="58">
        <f>'Cenário B.3.1'!J10</f>
        <v>0</v>
      </c>
      <c r="R11" s="58">
        <f>'Cenário B.3.1'!K10</f>
        <v>0</v>
      </c>
      <c r="S11" s="58">
        <f>'Cenário B.3.1'!L10</f>
        <v>1.2198669180627223E-4</v>
      </c>
      <c r="T11" s="59">
        <f>'Cenário B.3.1'!M10</f>
        <v>0</v>
      </c>
    </row>
    <row r="12" spans="1:20">
      <c r="A12" s="56" t="s">
        <v>13</v>
      </c>
      <c r="B12" s="58">
        <f>'Cenário B.1.1'!I11</f>
        <v>0</v>
      </c>
      <c r="C12" s="58">
        <f>'Cenário B.1.1'!J11</f>
        <v>0</v>
      </c>
      <c r="D12" s="58">
        <f>'Cenário B.1.1'!K11</f>
        <v>0</v>
      </c>
      <c r="E12" s="58">
        <f>'Cenário B.1.1'!L11</f>
        <v>0</v>
      </c>
      <c r="F12" s="59">
        <f>'Cenário B.1.1'!M11</f>
        <v>0</v>
      </c>
      <c r="H12" s="56" t="s">
        <v>13</v>
      </c>
      <c r="I12" s="58">
        <f>'Cenário B.2.1'!I11</f>
        <v>0</v>
      </c>
      <c r="J12" s="58">
        <f>'Cenário B.2.1'!J11</f>
        <v>0</v>
      </c>
      <c r="K12" s="58">
        <f>'Cenário B.2.1'!K11</f>
        <v>0</v>
      </c>
      <c r="L12" s="58">
        <f>'Cenário B.2.1'!L11</f>
        <v>0</v>
      </c>
      <c r="M12" s="59">
        <f>'Cenário B.2.1'!M11</f>
        <v>0</v>
      </c>
      <c r="O12" s="56" t="s">
        <v>13</v>
      </c>
      <c r="P12" s="58">
        <f>'Cenário B.3.1'!I11</f>
        <v>0</v>
      </c>
      <c r="Q12" s="58">
        <f>'Cenário B.3.1'!J11</f>
        <v>0</v>
      </c>
      <c r="R12" s="58">
        <f>'Cenário B.3.1'!K11</f>
        <v>0</v>
      </c>
      <c r="S12" s="58">
        <f>'Cenário B.3.1'!L11</f>
        <v>6.1733006151933295E-4</v>
      </c>
      <c r="T12" s="59">
        <f>'Cenário B.3.1'!M11</f>
        <v>0</v>
      </c>
    </row>
    <row r="13" spans="1:20">
      <c r="A13" s="56" t="s">
        <v>14</v>
      </c>
      <c r="B13" s="58">
        <f>'Cenário B.1.1'!I12</f>
        <v>5.1073081115455637E-2</v>
      </c>
      <c r="C13" s="58">
        <f>'Cenário B.1.1'!J12</f>
        <v>0</v>
      </c>
      <c r="D13" s="58">
        <f>'Cenário B.1.1'!K12</f>
        <v>1.5978613739548407E-4</v>
      </c>
      <c r="E13" s="58">
        <f>'Cenário B.1.1'!L12</f>
        <v>0</v>
      </c>
      <c r="F13" s="59">
        <f>'Cenário B.1.1'!M12</f>
        <v>1.6463893824664451E-3</v>
      </c>
      <c r="H13" s="56" t="s">
        <v>14</v>
      </c>
      <c r="I13" s="58">
        <f>'Cenário B.2.1'!I12</f>
        <v>5.4970806408850229E-2</v>
      </c>
      <c r="J13" s="58">
        <f>'Cenário B.2.1'!J12</f>
        <v>0</v>
      </c>
      <c r="K13" s="58">
        <f>'Cenário B.2.1'!K12</f>
        <v>1.863815233666723E-4</v>
      </c>
      <c r="L13" s="58">
        <f>'Cenário B.2.1'!L12</f>
        <v>4.374092417291847E-6</v>
      </c>
      <c r="M13" s="59">
        <f>'Cenário B.2.1'!M12</f>
        <v>2.9630909558136056E-3</v>
      </c>
      <c r="O13" s="56" t="s">
        <v>14</v>
      </c>
      <c r="P13" s="58">
        <f>'Cenário B.3.1'!I12</f>
        <v>4.0663081567812225E-2</v>
      </c>
      <c r="Q13" s="58">
        <f>'Cenário B.3.1'!J12</f>
        <v>0</v>
      </c>
      <c r="R13" s="58">
        <f>'Cenário B.3.1'!K12</f>
        <v>5.0293364876889061E-4</v>
      </c>
      <c r="S13" s="58">
        <f>'Cenário B.3.1'!L12</f>
        <v>3.0479471253220001E-4</v>
      </c>
      <c r="T13" s="59">
        <f>'Cenário B.3.1'!M12</f>
        <v>2.9630909558136056E-3</v>
      </c>
    </row>
    <row r="14" spans="1:20">
      <c r="A14" s="56" t="s">
        <v>15</v>
      </c>
      <c r="B14" s="58">
        <f>'Cenário B.1.1'!I13</f>
        <v>0</v>
      </c>
      <c r="C14" s="58">
        <f>'Cenário B.1.1'!J13</f>
        <v>0</v>
      </c>
      <c r="D14" s="58">
        <f>'Cenário B.1.1'!K13</f>
        <v>0</v>
      </c>
      <c r="E14" s="58">
        <f>'Cenário B.1.1'!L13</f>
        <v>0</v>
      </c>
      <c r="F14" s="59">
        <f>'Cenário B.1.1'!M13</f>
        <v>0</v>
      </c>
      <c r="H14" s="56" t="s">
        <v>15</v>
      </c>
      <c r="I14" s="58">
        <f>'Cenário B.2.1'!I13</f>
        <v>4.0661081560752921E-3</v>
      </c>
      <c r="J14" s="58">
        <f>'Cenário B.2.1'!J13</f>
        <v>9.9265578456426973E-2</v>
      </c>
      <c r="K14" s="58">
        <f>'Cenário B.2.1'!K13</f>
        <v>0</v>
      </c>
      <c r="L14" s="58">
        <f>'Cenário B.2.1'!L13</f>
        <v>2.6248260092212976E-6</v>
      </c>
      <c r="M14" s="59">
        <f>'Cenário B.2.1'!M13</f>
        <v>0</v>
      </c>
      <c r="O14" s="56" t="s">
        <v>15</v>
      </c>
      <c r="P14" s="58">
        <f>'Cenário B.3.1'!I13</f>
        <v>1.7446937679315461E-2</v>
      </c>
      <c r="Q14" s="58">
        <f>'Cenário B.3.1'!J13</f>
        <v>9.9265578456426973E-2</v>
      </c>
      <c r="R14" s="58">
        <f>'Cenário B.3.1'!K13</f>
        <v>2.9855116325123871E-8</v>
      </c>
      <c r="S14" s="58">
        <f>'Cenário B.3.1'!L13</f>
        <v>5.0488876503081922E-5</v>
      </c>
      <c r="T14" s="59">
        <f>'Cenário B.3.1'!M13</f>
        <v>0</v>
      </c>
    </row>
    <row r="15" spans="1:20">
      <c r="A15" s="56" t="s">
        <v>16</v>
      </c>
      <c r="B15" s="58">
        <f>'Cenário B.1.1'!I14</f>
        <v>3.7451936678493535E-5</v>
      </c>
      <c r="C15" s="58">
        <f>'Cenário B.1.1'!J14</f>
        <v>0</v>
      </c>
      <c r="D15" s="58">
        <f>'Cenário B.1.1'!K14</f>
        <v>5.5205301699554567E-7</v>
      </c>
      <c r="E15" s="58">
        <f>'Cenário B.1.1'!L14</f>
        <v>0</v>
      </c>
      <c r="F15" s="59">
        <f>'Cenário B.1.1'!M14</f>
        <v>0</v>
      </c>
      <c r="H15" s="56" t="s">
        <v>16</v>
      </c>
      <c r="I15" s="58">
        <f>'Cenário B.2.1'!I14</f>
        <v>2.5597940789331996E-3</v>
      </c>
      <c r="J15" s="58">
        <f>'Cenário B.2.1'!J14</f>
        <v>0</v>
      </c>
      <c r="K15" s="58">
        <f>'Cenário B.2.1'!K14</f>
        <v>1.3674200591655262E-6</v>
      </c>
      <c r="L15" s="58">
        <f>'Cenário B.2.1'!L14</f>
        <v>3.1428513942610764E-5</v>
      </c>
      <c r="M15" s="59">
        <f>'Cenário B.2.1'!M14</f>
        <v>0</v>
      </c>
      <c r="O15" s="56" t="s">
        <v>16</v>
      </c>
      <c r="P15" s="58">
        <f>'Cenário B.3.1'!I14</f>
        <v>2.9890040996104289E-2</v>
      </c>
      <c r="Q15" s="58">
        <f>'Cenário B.3.1'!J14</f>
        <v>0</v>
      </c>
      <c r="R15" s="58">
        <f>'Cenário B.3.1'!K14</f>
        <v>6.7625151713997662E-7</v>
      </c>
      <c r="S15" s="58">
        <f>'Cenário B.3.1'!L14</f>
        <v>4.6206508890171227E-4</v>
      </c>
      <c r="T15" s="59">
        <f>'Cenário B.3.1'!M14</f>
        <v>0</v>
      </c>
    </row>
    <row r="16" spans="1:20" ht="12.75" thickBot="1">
      <c r="A16" s="57" t="s">
        <v>17</v>
      </c>
      <c r="B16" s="60">
        <f>'Cenário B.1.1'!I15</f>
        <v>2.8377064264775799E-2</v>
      </c>
      <c r="C16" s="60">
        <f>'Cenário B.1.1'!J15</f>
        <v>0</v>
      </c>
      <c r="D16" s="60">
        <f>'Cenário B.1.1'!K15</f>
        <v>7.3353935649001948E-5</v>
      </c>
      <c r="E16" s="60">
        <f>'Cenário B.1.1'!L15</f>
        <v>0</v>
      </c>
      <c r="F16" s="61">
        <f>'Cenário B.1.1'!M15</f>
        <v>1.6463893824664451E-3</v>
      </c>
      <c r="H16" s="57" t="s">
        <v>17</v>
      </c>
      <c r="I16" s="60">
        <f>'Cenário B.2.1'!I15</f>
        <v>3.1469062265011803E-2</v>
      </c>
      <c r="J16" s="60">
        <f>'Cenário B.2.1'!J15</f>
        <v>8.9673827028549799E-2</v>
      </c>
      <c r="K16" s="60">
        <f>'Cenário B.2.1'!K15</f>
        <v>8.5818030414740033E-5</v>
      </c>
      <c r="L16" s="60">
        <f>'Cenário B.2.1'!L15</f>
        <v>4.1753744406840862E-6</v>
      </c>
      <c r="M16" s="61">
        <f>'Cenário B.2.1'!M15</f>
        <v>2.9630909558136056E-3</v>
      </c>
      <c r="O16" s="57" t="s">
        <v>17</v>
      </c>
      <c r="P16" s="60">
        <f>'Cenário B.3.1'!I15</f>
        <v>3.2522375247177458E-2</v>
      </c>
      <c r="Q16" s="60">
        <f>'Cenário B.3.1'!J15</f>
        <v>8.9673827028549799E-2</v>
      </c>
      <c r="R16" s="60">
        <f>'Cenário B.3.1'!K15</f>
        <v>2.3051648904760273E-4</v>
      </c>
      <c r="S16" s="60">
        <f>'Cenário B.3.1'!L15</f>
        <v>1.9621809944887891E-4</v>
      </c>
      <c r="T16" s="61">
        <f>'Cenário B.3.1'!M15</f>
        <v>2.9630909558136056E-3</v>
      </c>
    </row>
    <row r="17" spans="1:20" ht="6" customHeight="1" thickBot="1">
      <c r="I17" s="11"/>
      <c r="J17" s="11"/>
      <c r="K17" s="11"/>
      <c r="L17" s="11"/>
      <c r="M17" s="11"/>
      <c r="P17" s="11"/>
      <c r="Q17" s="11"/>
      <c r="R17" s="11"/>
      <c r="S17" s="11"/>
      <c r="T17" s="11"/>
    </row>
    <row r="18" spans="1:20" ht="15" customHeight="1">
      <c r="A18" s="62" t="s">
        <v>72</v>
      </c>
      <c r="B18" s="141" t="s">
        <v>123</v>
      </c>
      <c r="C18" s="142"/>
      <c r="D18" s="142"/>
      <c r="E18" s="142"/>
      <c r="F18" s="143"/>
      <c r="H18" s="62" t="s">
        <v>72</v>
      </c>
      <c r="I18" s="141" t="s">
        <v>124</v>
      </c>
      <c r="J18" s="142"/>
      <c r="K18" s="142"/>
      <c r="L18" s="142"/>
      <c r="M18" s="143"/>
      <c r="O18" s="62" t="s">
        <v>72</v>
      </c>
      <c r="P18" s="141" t="s">
        <v>125</v>
      </c>
      <c r="Q18" s="142"/>
      <c r="R18" s="142"/>
      <c r="S18" s="142"/>
      <c r="T18" s="143"/>
    </row>
    <row r="19" spans="1:20">
      <c r="A19" s="63" t="s">
        <v>73</v>
      </c>
      <c r="B19" s="138">
        <f>'Base Cenários'!N3</f>
        <v>8.405E-2</v>
      </c>
      <c r="C19" s="139"/>
      <c r="D19" s="139"/>
      <c r="E19" s="139"/>
      <c r="F19" s="140"/>
      <c r="H19" s="63" t="s">
        <v>73</v>
      </c>
      <c r="I19" s="138">
        <f>'Base Cenários'!N3</f>
        <v>8.405E-2</v>
      </c>
      <c r="J19" s="139"/>
      <c r="K19" s="139"/>
      <c r="L19" s="139"/>
      <c r="M19" s="140"/>
      <c r="O19" s="63" t="s">
        <v>73</v>
      </c>
      <c r="P19" s="138">
        <f>'Base Cenários'!N3</f>
        <v>8.405E-2</v>
      </c>
      <c r="Q19" s="139"/>
      <c r="R19" s="139"/>
      <c r="S19" s="139"/>
      <c r="T19" s="140"/>
    </row>
    <row r="20" spans="1:20">
      <c r="A20" s="63" t="s">
        <v>74</v>
      </c>
      <c r="B20" s="138" t="str">
        <f>'Base Cenários'!B3</f>
        <v>Processos de outorga outorgados</v>
      </c>
      <c r="C20" s="139"/>
      <c r="D20" s="139"/>
      <c r="E20" s="139"/>
      <c r="F20" s="140"/>
      <c r="H20" s="63" t="s">
        <v>74</v>
      </c>
      <c r="I20" s="138" t="str">
        <f>'Base Cenários'!B14</f>
        <v>Processos de outorga em análise e outorgados</v>
      </c>
      <c r="J20" s="139"/>
      <c r="K20" s="139"/>
      <c r="L20" s="139"/>
      <c r="M20" s="140"/>
      <c r="O20" s="63" t="s">
        <v>74</v>
      </c>
      <c r="P20" s="138" t="str">
        <f>'Base Cenários'!B25</f>
        <v>Maiores demandas hídricas</v>
      </c>
      <c r="Q20" s="139"/>
      <c r="R20" s="139"/>
      <c r="S20" s="139"/>
      <c r="T20" s="140"/>
    </row>
    <row r="21" spans="1:20" ht="5.25" customHeight="1">
      <c r="A21" s="56"/>
      <c r="F21" s="64"/>
      <c r="H21" s="56"/>
      <c r="I21" s="11"/>
      <c r="J21" s="11"/>
      <c r="K21" s="11"/>
      <c r="L21" s="11"/>
      <c r="M21" s="64"/>
      <c r="O21" s="56"/>
      <c r="P21" s="11"/>
      <c r="Q21" s="11"/>
      <c r="R21" s="11"/>
      <c r="S21" s="11"/>
      <c r="T21" s="64"/>
    </row>
    <row r="22" spans="1:20">
      <c r="A22" s="146" t="s">
        <v>47</v>
      </c>
      <c r="B22" s="147"/>
      <c r="C22" s="147"/>
      <c r="D22" s="147"/>
      <c r="E22" s="147"/>
      <c r="F22" s="148"/>
      <c r="H22" s="146" t="s">
        <v>47</v>
      </c>
      <c r="I22" s="147"/>
      <c r="J22" s="147"/>
      <c r="K22" s="147"/>
      <c r="L22" s="147"/>
      <c r="M22" s="148"/>
      <c r="O22" s="146" t="s">
        <v>47</v>
      </c>
      <c r="P22" s="147"/>
      <c r="Q22" s="147"/>
      <c r="R22" s="147"/>
      <c r="S22" s="147"/>
      <c r="T22" s="148"/>
    </row>
    <row r="23" spans="1:20">
      <c r="A23" s="149" t="s">
        <v>45</v>
      </c>
      <c r="B23" s="35" t="s">
        <v>1</v>
      </c>
      <c r="C23" s="35" t="s">
        <v>2</v>
      </c>
      <c r="D23" s="35" t="s">
        <v>3</v>
      </c>
      <c r="E23" s="35" t="s">
        <v>4</v>
      </c>
      <c r="F23" s="55" t="s">
        <v>5</v>
      </c>
      <c r="H23" s="149" t="s">
        <v>45</v>
      </c>
      <c r="I23" s="35" t="s">
        <v>1</v>
      </c>
      <c r="J23" s="35" t="s">
        <v>2</v>
      </c>
      <c r="K23" s="35" t="s">
        <v>3</v>
      </c>
      <c r="L23" s="35" t="s">
        <v>4</v>
      </c>
      <c r="M23" s="55" t="s">
        <v>5</v>
      </c>
      <c r="O23" s="149" t="s">
        <v>45</v>
      </c>
      <c r="P23" s="35" t="s">
        <v>1</v>
      </c>
      <c r="Q23" s="35" t="s">
        <v>2</v>
      </c>
      <c r="R23" s="35" t="s">
        <v>3</v>
      </c>
      <c r="S23" s="35" t="s">
        <v>4</v>
      </c>
      <c r="T23" s="55" t="s">
        <v>5</v>
      </c>
    </row>
    <row r="24" spans="1:20">
      <c r="A24" s="150"/>
      <c r="B24" s="144" t="s">
        <v>48</v>
      </c>
      <c r="C24" s="144"/>
      <c r="D24" s="144"/>
      <c r="E24" s="144"/>
      <c r="F24" s="145"/>
      <c r="H24" s="150"/>
      <c r="I24" s="144" t="s">
        <v>48</v>
      </c>
      <c r="J24" s="144"/>
      <c r="K24" s="144"/>
      <c r="L24" s="144"/>
      <c r="M24" s="145"/>
      <c r="O24" s="150"/>
      <c r="P24" s="144" t="s">
        <v>48</v>
      </c>
      <c r="Q24" s="144"/>
      <c r="R24" s="144"/>
      <c r="S24" s="144"/>
      <c r="T24" s="145"/>
    </row>
    <row r="25" spans="1:20">
      <c r="A25" s="56" t="s">
        <v>11</v>
      </c>
      <c r="B25" s="58">
        <f>'Cenário B.1.2'!I9</f>
        <v>0</v>
      </c>
      <c r="C25" s="58">
        <f>'Cenário B.1.2'!J9</f>
        <v>0</v>
      </c>
      <c r="D25" s="58">
        <f>'Cenário B.1.3'!K9</f>
        <v>0</v>
      </c>
      <c r="E25" s="58">
        <f>'Cenário B.1.3'!L9</f>
        <v>0</v>
      </c>
      <c r="F25" s="59">
        <f>'Cenário B.1.2'!M9</f>
        <v>0</v>
      </c>
      <c r="H25" s="56" t="s">
        <v>11</v>
      </c>
      <c r="I25" s="58">
        <f>'Cenário B.2.2'!I9</f>
        <v>0</v>
      </c>
      <c r="J25" s="58">
        <f>'Cenário B.2.2'!J9</f>
        <v>0</v>
      </c>
      <c r="K25" s="58">
        <f>'Cenário B.2.2'!K9</f>
        <v>0</v>
      </c>
      <c r="L25" s="58">
        <f>'Cenário B.2.2'!L9</f>
        <v>0</v>
      </c>
      <c r="M25" s="59">
        <f>'Cenário B.2.2'!M9</f>
        <v>0</v>
      </c>
      <c r="O25" s="56" t="s">
        <v>11</v>
      </c>
      <c r="P25" s="58">
        <f>'Cenário B.3.2'!I9</f>
        <v>5.5103681784642635E-5</v>
      </c>
      <c r="Q25" s="58">
        <f>'Cenário B.3.2'!J9</f>
        <v>0</v>
      </c>
      <c r="R25" s="58">
        <f>'Cenário B.3.2'!K9</f>
        <v>1.706482152596086E-7</v>
      </c>
      <c r="S25" s="58">
        <f>'Cenário B.3.2'!L9</f>
        <v>1.5709768031858934E-4</v>
      </c>
      <c r="T25" s="59">
        <f>'Cenário B.3.2'!M9</f>
        <v>0</v>
      </c>
    </row>
    <row r="26" spans="1:20">
      <c r="A26" s="56" t="s">
        <v>12</v>
      </c>
      <c r="B26" s="58">
        <f>'Cenário B.1.2'!I10</f>
        <v>0</v>
      </c>
      <c r="C26" s="58">
        <f>'Cenário B.1.2'!J10</f>
        <v>0</v>
      </c>
      <c r="D26" s="58">
        <f>'Cenário B.1.3'!K10</f>
        <v>0</v>
      </c>
      <c r="E26" s="58">
        <f>'Cenário B.1.3'!L10</f>
        <v>0</v>
      </c>
      <c r="F26" s="59">
        <f>'Cenário B.1.2'!M10</f>
        <v>0</v>
      </c>
      <c r="H26" s="56" t="s">
        <v>12</v>
      </c>
      <c r="I26" s="58">
        <f>'Cenário B.2.2'!I10</f>
        <v>7.286858108238451E-4</v>
      </c>
      <c r="J26" s="58">
        <f>'Cenário B.2.2'!J10</f>
        <v>0</v>
      </c>
      <c r="K26" s="58">
        <f>'Cenário B.2.2'!K10</f>
        <v>0</v>
      </c>
      <c r="L26" s="58">
        <f>'Cenário B.2.2'!L10</f>
        <v>0</v>
      </c>
      <c r="M26" s="59">
        <f>'Cenário B.2.2'!M10</f>
        <v>0</v>
      </c>
      <c r="O26" s="56" t="s">
        <v>12</v>
      </c>
      <c r="P26" s="58">
        <f>'Cenário B.3.2'!I10</f>
        <v>7.0355787833434205E-4</v>
      </c>
      <c r="Q26" s="58">
        <f>'Cenário B.3.2'!J10</f>
        <v>0</v>
      </c>
      <c r="R26" s="58">
        <f>'Cenário B.3.2'!K10</f>
        <v>0</v>
      </c>
      <c r="S26" s="58">
        <f>'Cenário B.3.2'!L10</f>
        <v>1.5546598099040458E-4</v>
      </c>
      <c r="T26" s="59">
        <f>'Cenário B.3.2'!M10</f>
        <v>0</v>
      </c>
    </row>
    <row r="27" spans="1:20">
      <c r="A27" s="56" t="s">
        <v>13</v>
      </c>
      <c r="B27" s="58">
        <f>'Cenário B.1.2'!I11</f>
        <v>0</v>
      </c>
      <c r="C27" s="58">
        <f>'Cenário B.1.2'!J11</f>
        <v>0</v>
      </c>
      <c r="D27" s="58">
        <f>'Cenário B.1.3'!K11</f>
        <v>0</v>
      </c>
      <c r="E27" s="58">
        <f>'Cenário B.1.3'!L11</f>
        <v>0</v>
      </c>
      <c r="F27" s="59">
        <f>'Cenário B.1.2'!M11</f>
        <v>0</v>
      </c>
      <c r="H27" s="56" t="s">
        <v>13</v>
      </c>
      <c r="I27" s="58">
        <f>'Cenário B.2.2'!I11</f>
        <v>0</v>
      </c>
      <c r="J27" s="58">
        <f>'Cenário B.2.2'!J11</f>
        <v>0</v>
      </c>
      <c r="K27" s="58">
        <f>'Cenário B.2.2'!K11</f>
        <v>0</v>
      </c>
      <c r="L27" s="58">
        <f>'Cenário B.2.2'!L11</f>
        <v>0</v>
      </c>
      <c r="M27" s="59">
        <f>'Cenário B.2.2'!M11</f>
        <v>0</v>
      </c>
      <c r="O27" s="56" t="s">
        <v>13</v>
      </c>
      <c r="P27" s="58">
        <f>'Cenário B.3.2'!I11</f>
        <v>0</v>
      </c>
      <c r="Q27" s="58">
        <f>'Cenário B.3.2'!J11</f>
        <v>0</v>
      </c>
      <c r="R27" s="58">
        <f>'Cenário B.3.2'!K11</f>
        <v>0</v>
      </c>
      <c r="S27" s="58">
        <f>'Cenário B.3.2'!L11</f>
        <v>7.8675650751629928E-4</v>
      </c>
      <c r="T27" s="59">
        <f>'Cenário B.3.2'!M11</f>
        <v>0</v>
      </c>
    </row>
    <row r="28" spans="1:20">
      <c r="A28" s="56" t="s">
        <v>14</v>
      </c>
      <c r="B28" s="58">
        <f>'Cenário B.1.2'!I12</f>
        <v>6.5090105652070449E-2</v>
      </c>
      <c r="C28" s="58">
        <f>'Cenário B.1.2'!J12</f>
        <v>0</v>
      </c>
      <c r="D28" s="58">
        <f>'Cenário B.1.3'!K12</f>
        <v>3.6342563471300395E-4</v>
      </c>
      <c r="E28" s="58">
        <f>'Cenário B.1.3'!L12</f>
        <v>0</v>
      </c>
      <c r="F28" s="59">
        <f>'Cenário B.1.2'!M12</f>
        <v>2.0982415101789948E-3</v>
      </c>
      <c r="H28" s="56" t="s">
        <v>14</v>
      </c>
      <c r="I28" s="58">
        <f>'Cenário B.2.2'!I12</f>
        <v>7.0057562982014598E-2</v>
      </c>
      <c r="J28" s="58">
        <f>'Cenário B.2.2'!J12</f>
        <v>0</v>
      </c>
      <c r="K28" s="58">
        <f>'Cenário B.2.2'!K12</f>
        <v>2.3753399604198346E-4</v>
      </c>
      <c r="L28" s="58">
        <f>'Cenário B.2.2'!L12</f>
        <v>5.5745635735159928E-6</v>
      </c>
      <c r="M28" s="59">
        <f>'Cenário B.2.2'!M12</f>
        <v>3.7763122795471346E-3</v>
      </c>
      <c r="O28" s="56" t="s">
        <v>14</v>
      </c>
      <c r="P28" s="58">
        <f>'Cenário B.3.2'!I12</f>
        <v>5.1823078177022246E-2</v>
      </c>
      <c r="Q28" s="58">
        <f>'Cenário B.3.2'!J12</f>
        <v>0</v>
      </c>
      <c r="R28" s="58">
        <f>'Cenário B.3.2'!K12</f>
        <v>6.4096396025815395E-4</v>
      </c>
      <c r="S28" s="58">
        <f>'Cenário B.3.2'!L12</f>
        <v>3.8844572537272799E-4</v>
      </c>
      <c r="T28" s="59">
        <f>'Cenário B.3.2'!M12</f>
        <v>3.7763122795471346E-3</v>
      </c>
    </row>
    <row r="29" spans="1:20">
      <c r="A29" s="56" t="s">
        <v>15</v>
      </c>
      <c r="B29" s="58">
        <f>'Cenário B.1.2'!I13</f>
        <v>0</v>
      </c>
      <c r="C29" s="58">
        <f>'Cenário B.1.2'!J13</f>
        <v>0</v>
      </c>
      <c r="D29" s="58">
        <f>'Cenário B.1.3'!K13</f>
        <v>0</v>
      </c>
      <c r="E29" s="58">
        <f>'Cenário B.1.3'!L13</f>
        <v>0</v>
      </c>
      <c r="F29" s="59">
        <f>'Cenário B.1.2'!M13</f>
        <v>0</v>
      </c>
      <c r="H29" s="56" t="s">
        <v>15</v>
      </c>
      <c r="I29" s="58">
        <f>'Cenário B.2.2'!I13</f>
        <v>5.182052926734319E-3</v>
      </c>
      <c r="J29" s="58">
        <f>'Cenário B.2.2'!J13</f>
        <v>0.12650905032998769</v>
      </c>
      <c r="K29" s="58">
        <f>'Cenário B.2.2'!K13</f>
        <v>0</v>
      </c>
      <c r="L29" s="58">
        <f>'Cenário B.2.2'!L13</f>
        <v>3.3452104029575445E-6</v>
      </c>
      <c r="M29" s="59">
        <f>'Cenário B.2.2'!M13</f>
        <v>0</v>
      </c>
      <c r="O29" s="56" t="s">
        <v>15</v>
      </c>
      <c r="P29" s="58">
        <f>'Cenário B.3.2'!I13</f>
        <v>2.2235255677732591E-2</v>
      </c>
      <c r="Q29" s="58">
        <f>'Cenário B.3.2'!J13</f>
        <v>0.12650905032998769</v>
      </c>
      <c r="R29" s="58">
        <f>'Cenário B.3.2'!K13</f>
        <v>3.8048863186151046E-8</v>
      </c>
      <c r="S29" s="58">
        <f>'Cenário B.3.2'!L13</f>
        <v>6.4345565884519116E-5</v>
      </c>
      <c r="T29" s="59">
        <f>'Cenário B.3.2'!M13</f>
        <v>0</v>
      </c>
    </row>
    <row r="30" spans="1:20">
      <c r="A30" s="56" t="s">
        <v>16</v>
      </c>
      <c r="B30" s="58">
        <f>'Cenário B.1.2'!I14</f>
        <v>4.7730633477291604E-5</v>
      </c>
      <c r="C30" s="58">
        <f>'Cenário B.1.2'!J14</f>
        <v>0</v>
      </c>
      <c r="D30" s="58">
        <f>'Cenário B.1.3'!K14</f>
        <v>1.255617172848095E-6</v>
      </c>
      <c r="E30" s="58">
        <f>'Cenário B.1.3'!L14</f>
        <v>0</v>
      </c>
      <c r="F30" s="59">
        <f>'Cenário B.1.2'!M14</f>
        <v>0</v>
      </c>
      <c r="H30" s="56" t="s">
        <v>16</v>
      </c>
      <c r="I30" s="58">
        <f>'Cenário B.2.2'!I14</f>
        <v>3.2623304372150939E-3</v>
      </c>
      <c r="J30" s="58">
        <f>'Cenário B.2.2'!J14</f>
        <v>0</v>
      </c>
      <c r="K30" s="58">
        <f>'Cenário B.2.2'!K14</f>
        <v>1.7427089609228576E-6</v>
      </c>
      <c r="L30" s="58">
        <f>'Cenário B.2.2'!L14</f>
        <v>4.0054080316549425E-5</v>
      </c>
      <c r="M30" s="59">
        <f>'Cenário B.2.2'!M14</f>
        <v>0</v>
      </c>
      <c r="O30" s="56" t="s">
        <v>16</v>
      </c>
      <c r="P30" s="58">
        <f>'Cenário B.3.2'!I14</f>
        <v>3.8093372944997206E-2</v>
      </c>
      <c r="Q30" s="58">
        <f>'Cenário B.3.2'!J14</f>
        <v>0</v>
      </c>
      <c r="R30" s="58">
        <f>'Cenário B.3.2'!K14</f>
        <v>8.6184897673411747E-7</v>
      </c>
      <c r="S30" s="58">
        <f>'Cenário B.3.2'!L14</f>
        <v>5.888790101924022E-4</v>
      </c>
      <c r="T30" s="59">
        <f>'Cenário B.3.2'!M14</f>
        <v>0</v>
      </c>
    </row>
    <row r="31" spans="1:20" ht="12.75" thickBot="1">
      <c r="A31" s="57" t="s">
        <v>17</v>
      </c>
      <c r="B31" s="60">
        <f>'Cenário B.1.2'!I15</f>
        <v>3.6165159233577042E-2</v>
      </c>
      <c r="C31" s="60">
        <f>'Cenário B.1.2'!J15</f>
        <v>0</v>
      </c>
      <c r="D31" s="60">
        <f>'Cenário B.1.3'!K15</f>
        <v>1.6683988396285504E-4</v>
      </c>
      <c r="E31" s="60">
        <f>'Cenário B.1.3'!L15</f>
        <v>0</v>
      </c>
      <c r="F31" s="61">
        <f>'Cenário B.1.2'!M15</f>
        <v>2.0982415101789948E-3</v>
      </c>
      <c r="H31" s="57" t="s">
        <v>17</v>
      </c>
      <c r="I31" s="60">
        <f>'Cenário B.2.2'!I15</f>
        <v>4.01057571398672E-2</v>
      </c>
      <c r="J31" s="60">
        <f>'Cenário B.2.2'!J15</f>
        <v>0.11428483945033527</v>
      </c>
      <c r="K31" s="60">
        <f>'Cenário B.2.2'!K15</f>
        <v>1.0937081814039275E-4</v>
      </c>
      <c r="L31" s="60">
        <f>'Cenário B.2.2'!L15</f>
        <v>5.3213073804321065E-6</v>
      </c>
      <c r="M31" s="61">
        <f>'Cenário B.2.2'!M15</f>
        <v>3.7763122795471346E-3</v>
      </c>
      <c r="O31" s="57" t="s">
        <v>17</v>
      </c>
      <c r="P31" s="60">
        <f>'Cenário B.3.2'!I15</f>
        <v>4.1448152229344427E-2</v>
      </c>
      <c r="Q31" s="60">
        <f>'Cenário B.3.2'!J15</f>
        <v>0.11428483945033527</v>
      </c>
      <c r="R31" s="60">
        <f>'Cenário B.3.2'!K15</f>
        <v>2.9378181811146341E-4</v>
      </c>
      <c r="S31" s="60">
        <f>'Cenário B.3.2'!L15</f>
        <v>2.5007022378587223E-4</v>
      </c>
      <c r="T31" s="61">
        <f>'Cenário B.3.2'!M15</f>
        <v>3.7763122795471346E-3</v>
      </c>
    </row>
    <row r="32" spans="1:20" ht="6.75" customHeight="1" thickBot="1">
      <c r="I32" s="11"/>
      <c r="J32" s="11"/>
      <c r="K32" s="11"/>
      <c r="L32" s="11"/>
      <c r="M32" s="11"/>
      <c r="P32" s="11"/>
      <c r="Q32" s="11"/>
      <c r="R32" s="11"/>
      <c r="S32" s="11"/>
      <c r="T32" s="11"/>
    </row>
    <row r="33" spans="1:20">
      <c r="A33" s="62" t="s">
        <v>72</v>
      </c>
      <c r="B33" s="141" t="s">
        <v>126</v>
      </c>
      <c r="C33" s="142"/>
      <c r="D33" s="142"/>
      <c r="E33" s="142"/>
      <c r="F33" s="143"/>
      <c r="H33" s="62" t="s">
        <v>72</v>
      </c>
      <c r="I33" s="141" t="s">
        <v>127</v>
      </c>
      <c r="J33" s="142"/>
      <c r="K33" s="142"/>
      <c r="L33" s="142"/>
      <c r="M33" s="143"/>
      <c r="O33" s="62" t="s">
        <v>72</v>
      </c>
      <c r="P33" s="141" t="s">
        <v>128</v>
      </c>
      <c r="Q33" s="142"/>
      <c r="R33" s="142"/>
      <c r="S33" s="142"/>
      <c r="T33" s="143"/>
    </row>
    <row r="34" spans="1:20">
      <c r="A34" s="63" t="s">
        <v>73</v>
      </c>
      <c r="B34" s="138">
        <f>'Base Cenários'!N4</f>
        <v>0.15</v>
      </c>
      <c r="C34" s="139"/>
      <c r="D34" s="139"/>
      <c r="E34" s="139"/>
      <c r="F34" s="140"/>
      <c r="H34" s="63" t="s">
        <v>73</v>
      </c>
      <c r="I34" s="138">
        <f>'Base Cenários'!N4</f>
        <v>0.15</v>
      </c>
      <c r="J34" s="139"/>
      <c r="K34" s="139"/>
      <c r="L34" s="139"/>
      <c r="M34" s="140"/>
      <c r="O34" s="63" t="s">
        <v>73</v>
      </c>
      <c r="P34" s="138">
        <f>'Base Cenários'!N4</f>
        <v>0.15</v>
      </c>
      <c r="Q34" s="139"/>
      <c r="R34" s="139"/>
      <c r="S34" s="139"/>
      <c r="T34" s="140"/>
    </row>
    <row r="35" spans="1:20">
      <c r="A35" s="63" t="s">
        <v>74</v>
      </c>
      <c r="B35" s="138" t="str">
        <f>'Base Cenários'!B3</f>
        <v>Processos de outorga outorgados</v>
      </c>
      <c r="C35" s="139"/>
      <c r="D35" s="139"/>
      <c r="E35" s="139"/>
      <c r="F35" s="140"/>
      <c r="H35" s="63" t="s">
        <v>74</v>
      </c>
      <c r="I35" s="138" t="str">
        <f>'Base Cenários'!B14</f>
        <v>Processos de outorga em análise e outorgados</v>
      </c>
      <c r="J35" s="139"/>
      <c r="K35" s="139"/>
      <c r="L35" s="139"/>
      <c r="M35" s="140"/>
      <c r="O35" s="63" t="s">
        <v>74</v>
      </c>
      <c r="P35" s="138" t="str">
        <f>'Base Cenários'!B25</f>
        <v>Maiores demandas hídricas</v>
      </c>
      <c r="Q35" s="139"/>
      <c r="R35" s="139"/>
      <c r="S35" s="139"/>
      <c r="T35" s="140"/>
    </row>
    <row r="36" spans="1:20" ht="5.25" customHeight="1">
      <c r="A36" s="56"/>
      <c r="F36" s="64"/>
      <c r="H36" s="56"/>
      <c r="I36" s="11"/>
      <c r="J36" s="11"/>
      <c r="K36" s="11"/>
      <c r="L36" s="11"/>
      <c r="M36" s="64"/>
      <c r="O36" s="56"/>
      <c r="P36" s="11"/>
      <c r="Q36" s="11"/>
      <c r="R36" s="11"/>
      <c r="S36" s="11"/>
      <c r="T36" s="64"/>
    </row>
    <row r="37" spans="1:20">
      <c r="A37" s="146" t="s">
        <v>129</v>
      </c>
      <c r="B37" s="147"/>
      <c r="C37" s="147"/>
      <c r="D37" s="147"/>
      <c r="E37" s="147"/>
      <c r="F37" s="148"/>
      <c r="H37" s="146" t="s">
        <v>47</v>
      </c>
      <c r="I37" s="147"/>
      <c r="J37" s="147"/>
      <c r="K37" s="147"/>
      <c r="L37" s="147"/>
      <c r="M37" s="148"/>
      <c r="O37" s="146" t="s">
        <v>47</v>
      </c>
      <c r="P37" s="147"/>
      <c r="Q37" s="147"/>
      <c r="R37" s="147"/>
      <c r="S37" s="147"/>
      <c r="T37" s="148"/>
    </row>
    <row r="38" spans="1:20">
      <c r="A38" s="149" t="s">
        <v>45</v>
      </c>
      <c r="B38" s="35" t="s">
        <v>1</v>
      </c>
      <c r="C38" s="35" t="s">
        <v>2</v>
      </c>
      <c r="D38" s="35" t="s">
        <v>3</v>
      </c>
      <c r="E38" s="35" t="s">
        <v>4</v>
      </c>
      <c r="F38" s="55" t="s">
        <v>5</v>
      </c>
      <c r="H38" s="149" t="s">
        <v>45</v>
      </c>
      <c r="I38" s="35" t="s">
        <v>1</v>
      </c>
      <c r="J38" s="35" t="s">
        <v>2</v>
      </c>
      <c r="K38" s="35" t="s">
        <v>3</v>
      </c>
      <c r="L38" s="35" t="s">
        <v>4</v>
      </c>
      <c r="M38" s="55" t="s">
        <v>5</v>
      </c>
      <c r="O38" s="149" t="s">
        <v>45</v>
      </c>
      <c r="P38" s="35" t="s">
        <v>1</v>
      </c>
      <c r="Q38" s="35" t="s">
        <v>2</v>
      </c>
      <c r="R38" s="35" t="s">
        <v>3</v>
      </c>
      <c r="S38" s="35" t="s">
        <v>4</v>
      </c>
      <c r="T38" s="55" t="s">
        <v>5</v>
      </c>
    </row>
    <row r="39" spans="1:20">
      <c r="A39" s="150"/>
      <c r="B39" s="144" t="s">
        <v>48</v>
      </c>
      <c r="C39" s="144"/>
      <c r="D39" s="144"/>
      <c r="E39" s="144"/>
      <c r="F39" s="145"/>
      <c r="H39" s="150"/>
      <c r="I39" s="144" t="s">
        <v>48</v>
      </c>
      <c r="J39" s="144"/>
      <c r="K39" s="144"/>
      <c r="L39" s="144"/>
      <c r="M39" s="145"/>
      <c r="O39" s="150"/>
      <c r="P39" s="144" t="s">
        <v>48</v>
      </c>
      <c r="Q39" s="144"/>
      <c r="R39" s="144"/>
      <c r="S39" s="144"/>
      <c r="T39" s="145"/>
    </row>
    <row r="40" spans="1:20">
      <c r="A40" s="56" t="s">
        <v>11</v>
      </c>
      <c r="B40" s="58">
        <f>'Cenário B.1.3'!I9</f>
        <v>0</v>
      </c>
      <c r="C40" s="58">
        <f>'Cenário B.1.3'!J9</f>
        <v>0</v>
      </c>
      <c r="D40" s="58">
        <f>'Cenário B.1.3'!K9</f>
        <v>0</v>
      </c>
      <c r="E40" s="58">
        <f>'Cenário B.1.3'!L9</f>
        <v>0</v>
      </c>
      <c r="F40" s="59">
        <f>'Cenário B.1.3'!M9</f>
        <v>0</v>
      </c>
      <c r="H40" s="56" t="s">
        <v>11</v>
      </c>
      <c r="I40" s="58">
        <f>'Cenário B.2.3'!I9</f>
        <v>0</v>
      </c>
      <c r="J40" s="58">
        <f>'Cenário B.2.3'!J9</f>
        <v>0</v>
      </c>
      <c r="K40" s="58">
        <f>'Cenário B.2.3'!K9</f>
        <v>0</v>
      </c>
      <c r="L40" s="58">
        <f>'Cenário B.2.3'!L9</f>
        <v>0</v>
      </c>
      <c r="M40" s="59">
        <f>'Cenário B.2.3'!M9</f>
        <v>0</v>
      </c>
      <c r="O40" s="56" t="s">
        <v>11</v>
      </c>
      <c r="P40" s="58">
        <f>'Cenário B.3.3'!I9</f>
        <v>9.8340895510962446E-5</v>
      </c>
      <c r="Q40" s="58">
        <f>'Cenário B.3.3'!J9</f>
        <v>0</v>
      </c>
      <c r="R40" s="58">
        <f>'Cenário B.3.3'!K9</f>
        <v>3.045476774413003E-7</v>
      </c>
      <c r="S40" s="58">
        <f>'Cenário B.3.3'!L9</f>
        <v>2.8036468825447236E-4</v>
      </c>
      <c r="T40" s="59">
        <f>'Cenário B.3.3'!M9</f>
        <v>0</v>
      </c>
    </row>
    <row r="41" spans="1:20">
      <c r="A41" s="56" t="s">
        <v>12</v>
      </c>
      <c r="B41" s="58">
        <f>'Cenário B.1.3'!I10</f>
        <v>0</v>
      </c>
      <c r="C41" s="58">
        <f>'Cenário B.1.3'!J10</f>
        <v>0</v>
      </c>
      <c r="D41" s="58">
        <f>'Cenário B.1.3'!K10</f>
        <v>0</v>
      </c>
      <c r="E41" s="58">
        <f>'Cenário B.1.3'!L10</f>
        <v>0</v>
      </c>
      <c r="F41" s="59">
        <f>'Cenário B.1.3'!M10</f>
        <v>0</v>
      </c>
      <c r="H41" s="56" t="s">
        <v>12</v>
      </c>
      <c r="I41" s="58">
        <f>'Cenário B.2.3'!I10</f>
        <v>1.3004505844565943E-3</v>
      </c>
      <c r="J41" s="58">
        <f>'Cenário B.2.3'!J10</f>
        <v>0</v>
      </c>
      <c r="K41" s="58">
        <f>'Cenário B.2.3'!K10</f>
        <v>0</v>
      </c>
      <c r="L41" s="58">
        <f>'Cenário B.2.3'!L10</f>
        <v>0</v>
      </c>
      <c r="M41" s="59">
        <f>'Cenário B.2.3'!M10</f>
        <v>0</v>
      </c>
      <c r="O41" s="56" t="s">
        <v>12</v>
      </c>
      <c r="P41" s="58">
        <f>'Cenário B.3.3'!I10</f>
        <v>1.2556059696627166E-3</v>
      </c>
      <c r="Q41" s="58">
        <f>'Cenário B.3.3'!J10</f>
        <v>0</v>
      </c>
      <c r="R41" s="58">
        <f>'Cenário B.3.3'!K10</f>
        <v>0</v>
      </c>
      <c r="S41" s="58">
        <f>'Cenário B.3.3'!L10</f>
        <v>2.774526727966768E-4</v>
      </c>
      <c r="T41" s="59">
        <f>'Cenário B.3.3'!M10</f>
        <v>0</v>
      </c>
    </row>
    <row r="42" spans="1:20">
      <c r="A42" s="56" t="s">
        <v>13</v>
      </c>
      <c r="B42" s="58">
        <f>'Cenário B.1.3'!I11</f>
        <v>0</v>
      </c>
      <c r="C42" s="58">
        <f>'Cenário B.1.3'!J11</f>
        <v>0</v>
      </c>
      <c r="D42" s="58">
        <f>'Cenário B.1.3'!K11</f>
        <v>0</v>
      </c>
      <c r="E42" s="58">
        <f>'Cenário B.1.3'!L11</f>
        <v>0</v>
      </c>
      <c r="F42" s="59">
        <f>'Cenário B.1.3'!M11</f>
        <v>0</v>
      </c>
      <c r="H42" s="56" t="s">
        <v>13</v>
      </c>
      <c r="I42" s="58">
        <f>'Cenário B.2.3'!I11</f>
        <v>0</v>
      </c>
      <c r="J42" s="58">
        <f>'Cenário B.2.3'!J11</f>
        <v>0</v>
      </c>
      <c r="K42" s="58">
        <f>'Cenário B.2.3'!K11</f>
        <v>0</v>
      </c>
      <c r="L42" s="58">
        <f>'Cenário B.2.3'!L11</f>
        <v>0</v>
      </c>
      <c r="M42" s="59">
        <f>'Cenário B.2.3'!M11</f>
        <v>0</v>
      </c>
      <c r="O42" s="56" t="s">
        <v>13</v>
      </c>
      <c r="P42" s="58">
        <f>'Cenário B.3.3'!I11</f>
        <v>0</v>
      </c>
      <c r="Q42" s="58">
        <f>'Cenário B.3.3'!J11</f>
        <v>0</v>
      </c>
      <c r="R42" s="58">
        <f>'Cenário B.3.3'!K11</f>
        <v>0</v>
      </c>
      <c r="S42" s="58">
        <f>'Cenário B.3.3'!L11</f>
        <v>1.4040865690356323E-3</v>
      </c>
      <c r="T42" s="59">
        <f>'Cenário B.3.3'!M11</f>
        <v>0</v>
      </c>
    </row>
    <row r="43" spans="1:20">
      <c r="A43" s="56" t="s">
        <v>14</v>
      </c>
      <c r="B43" s="58">
        <f>'Cenário B.1.3'!I12</f>
        <v>0.11616318676752609</v>
      </c>
      <c r="C43" s="58">
        <f>'Cenário B.1.3'!J12</f>
        <v>0</v>
      </c>
      <c r="D43" s="58">
        <f>'Cenário B.1.3'!K12</f>
        <v>3.6342563471300395E-4</v>
      </c>
      <c r="E43" s="58">
        <f>'Cenário B.1.3'!L12</f>
        <v>0</v>
      </c>
      <c r="F43" s="59">
        <f>'Cenário B.1.3'!M12</f>
        <v>3.7446308926454399E-3</v>
      </c>
      <c r="H43" s="56" t="s">
        <v>14</v>
      </c>
      <c r="I43" s="58">
        <f>'Cenário B.2.3'!I12</f>
        <v>0.12502836939086484</v>
      </c>
      <c r="J43" s="58">
        <f>'Cenário B.2.3'!J12</f>
        <v>0</v>
      </c>
      <c r="K43" s="58">
        <f>'Cenário B.2.3'!K12</f>
        <v>4.2391551940865576E-4</v>
      </c>
      <c r="L43" s="58">
        <f>'Cenário B.2.3'!L12</f>
        <v>9.948655990807839E-6</v>
      </c>
      <c r="M43" s="59">
        <f>'Cenário B.2.3'!M12</f>
        <v>6.7394032353607402E-3</v>
      </c>
      <c r="O43" s="56" t="s">
        <v>14</v>
      </c>
      <c r="P43" s="58">
        <f>'Cenário B.3.3'!I12</f>
        <v>9.2486159744834484E-2</v>
      </c>
      <c r="Q43" s="58">
        <f>'Cenário B.3.3'!J12</f>
        <v>0</v>
      </c>
      <c r="R43" s="58">
        <f>'Cenário B.3.3'!K12</f>
        <v>1.1438976090270446E-3</v>
      </c>
      <c r="S43" s="58">
        <f>'Cenário B.3.3'!L12</f>
        <v>6.9324043790492805E-4</v>
      </c>
      <c r="T43" s="59">
        <f>'Cenário B.3.3'!M12</f>
        <v>6.7394032353607402E-3</v>
      </c>
    </row>
    <row r="44" spans="1:20">
      <c r="A44" s="56" t="s">
        <v>15</v>
      </c>
      <c r="B44" s="58">
        <f>'Cenário B.1.3'!I13</f>
        <v>0</v>
      </c>
      <c r="C44" s="58">
        <f>'Cenário B.1.3'!J13</f>
        <v>0</v>
      </c>
      <c r="D44" s="58">
        <f>'Cenário B.1.3'!K13</f>
        <v>0</v>
      </c>
      <c r="E44" s="58">
        <f>'Cenário B.1.3'!L13</f>
        <v>0</v>
      </c>
      <c r="F44" s="59">
        <f>'Cenário B.1.3'!M13</f>
        <v>0</v>
      </c>
      <c r="H44" s="56" t="s">
        <v>15</v>
      </c>
      <c r="I44" s="58">
        <f>'Cenário B.2.3'!I13</f>
        <v>9.2481610828096111E-3</v>
      </c>
      <c r="J44" s="58">
        <f>'Cenário B.2.3'!J13</f>
        <v>0.22577462878641469</v>
      </c>
      <c r="K44" s="58">
        <f>'Cenário B.2.3'!K13</f>
        <v>0</v>
      </c>
      <c r="L44" s="58">
        <f>'Cenário B.2.3'!L13</f>
        <v>5.9700364121788417E-6</v>
      </c>
      <c r="M44" s="59">
        <f>'Cenário B.2.3'!M13</f>
        <v>0</v>
      </c>
      <c r="O44" s="56" t="s">
        <v>15</v>
      </c>
      <c r="P44" s="58">
        <f>'Cenário B.3.3'!I13</f>
        <v>3.9682193357048055E-2</v>
      </c>
      <c r="Q44" s="58">
        <f>'Cenário B.3.3'!J13</f>
        <v>0.22577462878641469</v>
      </c>
      <c r="R44" s="58">
        <f>'Cenário B.3.3'!K13</f>
        <v>6.7903979511274911E-8</v>
      </c>
      <c r="S44" s="58">
        <f>'Cenário B.3.3'!L13</f>
        <v>1.1483444238760104E-4</v>
      </c>
      <c r="T44" s="59">
        <f>'Cenário B.3.3'!M13</f>
        <v>0</v>
      </c>
    </row>
    <row r="45" spans="1:20">
      <c r="A45" s="56" t="s">
        <v>16</v>
      </c>
      <c r="B45" s="58">
        <f>'Cenário B.1.3'!I14</f>
        <v>8.5182570155785146E-5</v>
      </c>
      <c r="C45" s="58">
        <f>'Cenário B.1.3'!J14</f>
        <v>0</v>
      </c>
      <c r="D45" s="58">
        <f>'Cenário B.1.3'!K14</f>
        <v>1.255617172848095E-6</v>
      </c>
      <c r="E45" s="58">
        <f>'Cenário B.1.3'!L14</f>
        <v>0</v>
      </c>
      <c r="F45" s="59">
        <f>'Cenário B.1.3'!M14</f>
        <v>0</v>
      </c>
      <c r="H45" s="56" t="s">
        <v>16</v>
      </c>
      <c r="I45" s="58">
        <f>'Cenário B.2.3'!I14</f>
        <v>5.8221245161482922E-3</v>
      </c>
      <c r="J45" s="58">
        <f>'Cenário B.2.3'!J14</f>
        <v>0</v>
      </c>
      <c r="K45" s="58">
        <f>'Cenário B.2.3'!K14</f>
        <v>3.110129020088384E-6</v>
      </c>
      <c r="L45" s="58">
        <f>'Cenário B.2.3'!L14</f>
        <v>7.1482594259160195E-5</v>
      </c>
      <c r="M45" s="59">
        <f>'Cenário B.2.3'!M14</f>
        <v>0</v>
      </c>
      <c r="O45" s="56" t="s">
        <v>16</v>
      </c>
      <c r="P45" s="58">
        <f>'Cenário B.3.3'!I14</f>
        <v>6.7983413941101509E-2</v>
      </c>
      <c r="Q45" s="58">
        <f>'Cenário B.3.3'!J14</f>
        <v>0</v>
      </c>
      <c r="R45" s="58">
        <f>'Cenário B.3.3'!K14</f>
        <v>1.5381004938740943E-6</v>
      </c>
      <c r="S45" s="58">
        <f>'Cenário B.3.3'!L14</f>
        <v>1.0509440990941145E-3</v>
      </c>
      <c r="T45" s="59">
        <f>'Cenário B.3.3'!M14</f>
        <v>0</v>
      </c>
    </row>
    <row r="46" spans="1:20" ht="12.75" thickBot="1">
      <c r="A46" s="57" t="s">
        <v>17</v>
      </c>
      <c r="B46" s="60">
        <f>'Cenário B.1.3'!I15</f>
        <v>6.4542223498352827E-2</v>
      </c>
      <c r="C46" s="60">
        <f>'Cenário B.1.3'!J15</f>
        <v>0</v>
      </c>
      <c r="D46" s="60">
        <f>'Cenário B.1.3'!K15</f>
        <v>1.6683988396285504E-4</v>
      </c>
      <c r="E46" s="60">
        <f>'Cenário B.1.3'!L15</f>
        <v>0</v>
      </c>
      <c r="F46" s="61">
        <f>'Cenário B.1.3'!M15</f>
        <v>3.7446308926454399E-3</v>
      </c>
      <c r="H46" s="57" t="s">
        <v>17</v>
      </c>
      <c r="I46" s="60">
        <f>'Cenário B.2.3'!I15</f>
        <v>7.1574819404878989E-2</v>
      </c>
      <c r="J46" s="60">
        <f>'Cenário B.2.3'!J15</f>
        <v>0.20395866647888508</v>
      </c>
      <c r="K46" s="60">
        <f>'Cenário B.2.3'!K15</f>
        <v>1.9518884855513276E-4</v>
      </c>
      <c r="L46" s="60">
        <f>'Cenário B.2.3'!L15</f>
        <v>9.4966818211161918E-6</v>
      </c>
      <c r="M46" s="61">
        <f>'Cenário B.2.3'!M15</f>
        <v>6.7394032353607402E-3</v>
      </c>
      <c r="O46" s="57" t="s">
        <v>17</v>
      </c>
      <c r="P46" s="60">
        <f>'Cenário B.3.3'!I15</f>
        <v>7.3970527476521886E-2</v>
      </c>
      <c r="Q46" s="60">
        <f>'Cenário B.3.3'!J15</f>
        <v>0.20395866647888508</v>
      </c>
      <c r="R46" s="60">
        <f>'Cenário B.3.3'!K15</f>
        <v>5.2429830715906617E-4</v>
      </c>
      <c r="S46" s="60">
        <f>'Cenário B.3.3'!L15</f>
        <v>4.4628832323475112E-4</v>
      </c>
      <c r="T46" s="61">
        <f>'Cenário B.3.3'!M15</f>
        <v>6.7394032353607402E-3</v>
      </c>
    </row>
    <row r="47" spans="1:20">
      <c r="P47" s="58"/>
      <c r="Q47" s="58"/>
      <c r="R47" s="58"/>
      <c r="S47" s="58"/>
      <c r="T47" s="59"/>
    </row>
    <row r="50" spans="3:3">
      <c r="C50" s="11" t="s">
        <v>76</v>
      </c>
    </row>
  </sheetData>
  <mergeCells count="55">
    <mergeCell ref="A1:T1"/>
    <mergeCell ref="P33:T33"/>
    <mergeCell ref="P34:T34"/>
    <mergeCell ref="P35:T35"/>
    <mergeCell ref="O37:T37"/>
    <mergeCell ref="P3:T3"/>
    <mergeCell ref="P4:T4"/>
    <mergeCell ref="P5:T5"/>
    <mergeCell ref="O7:T7"/>
    <mergeCell ref="O8:O9"/>
    <mergeCell ref="P9:T9"/>
    <mergeCell ref="I33:M33"/>
    <mergeCell ref="I34:M34"/>
    <mergeCell ref="I35:M35"/>
    <mergeCell ref="H37:M37"/>
    <mergeCell ref="B35:F35"/>
    <mergeCell ref="O38:O39"/>
    <mergeCell ref="P39:T39"/>
    <mergeCell ref="P18:T18"/>
    <mergeCell ref="P19:T19"/>
    <mergeCell ref="P20:T20"/>
    <mergeCell ref="O22:T22"/>
    <mergeCell ref="O23:O24"/>
    <mergeCell ref="P24:T24"/>
    <mergeCell ref="H38:H39"/>
    <mergeCell ref="I39:M39"/>
    <mergeCell ref="I18:M18"/>
    <mergeCell ref="I19:M19"/>
    <mergeCell ref="I20:M20"/>
    <mergeCell ref="H22:M22"/>
    <mergeCell ref="H23:H24"/>
    <mergeCell ref="I24:M24"/>
    <mergeCell ref="A37:F37"/>
    <mergeCell ref="A38:A39"/>
    <mergeCell ref="B39:F39"/>
    <mergeCell ref="I3:M3"/>
    <mergeCell ref="I4:M4"/>
    <mergeCell ref="I5:M5"/>
    <mergeCell ref="H7:M7"/>
    <mergeCell ref="H8:H9"/>
    <mergeCell ref="I9:M9"/>
    <mergeCell ref="B18:F18"/>
    <mergeCell ref="B19:F19"/>
    <mergeCell ref="B20:F20"/>
    <mergeCell ref="B33:F33"/>
    <mergeCell ref="B34:F34"/>
    <mergeCell ref="A7:F7"/>
    <mergeCell ref="A8:A9"/>
    <mergeCell ref="B4:F4"/>
    <mergeCell ref="B3:F3"/>
    <mergeCell ref="B9:F9"/>
    <mergeCell ref="A22:F22"/>
    <mergeCell ref="A23:A24"/>
    <mergeCell ref="B24:F24"/>
    <mergeCell ref="B5:F5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85422-A7AA-4FDB-8480-2386D7B6742E}">
  <dimension ref="A1:Q84"/>
  <sheetViews>
    <sheetView workbookViewId="0">
      <selection activeCell="E34" sqref="E34"/>
    </sheetView>
  </sheetViews>
  <sheetFormatPr defaultColWidth="9.125" defaultRowHeight="12"/>
  <cols>
    <col min="1" max="1" width="19.75" style="8" bestFit="1" customWidth="1"/>
    <col min="2" max="2" width="16.25" style="8" bestFit="1" customWidth="1"/>
    <col min="3" max="4" width="15.25" style="8" bestFit="1" customWidth="1"/>
    <col min="5" max="5" width="12.75" style="8" bestFit="1" customWidth="1"/>
    <col min="6" max="6" width="16.125" style="8" bestFit="1" customWidth="1"/>
    <col min="7" max="7" width="12.375" style="8" customWidth="1"/>
    <col min="8" max="8" width="18" style="8" customWidth="1"/>
    <col min="9" max="9" width="15.875" style="42" bestFit="1" customWidth="1"/>
    <col min="10" max="10" width="16.125" style="42" bestFit="1" customWidth="1"/>
    <col min="11" max="11" width="13.625" style="8" bestFit="1" customWidth="1"/>
    <col min="12" max="13" width="15" style="8" bestFit="1" customWidth="1"/>
    <col min="14" max="14" width="16" style="8" bestFit="1" customWidth="1"/>
    <col min="15" max="15" width="15" style="8" bestFit="1" customWidth="1"/>
    <col min="16" max="16" width="13.625" style="8" bestFit="1" customWidth="1"/>
    <col min="17" max="17" width="15" style="8" bestFit="1" customWidth="1"/>
    <col min="18" max="16384" width="9.125" style="8"/>
  </cols>
  <sheetData>
    <row r="1" spans="1:13" ht="15.75">
      <c r="A1" s="152" t="s">
        <v>114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</row>
    <row r="2" spans="1:13">
      <c r="A2" s="38" t="s">
        <v>34</v>
      </c>
      <c r="B2" s="153" t="s">
        <v>100</v>
      </c>
      <c r="C2" s="153"/>
      <c r="D2" s="153"/>
      <c r="E2" s="153"/>
      <c r="F2" s="153"/>
      <c r="G2" s="153"/>
      <c r="H2" s="153"/>
      <c r="I2" s="153"/>
      <c r="J2" s="39"/>
    </row>
    <row r="3" spans="1:13">
      <c r="A3" s="38" t="s">
        <v>35</v>
      </c>
      <c r="B3" s="40" t="s">
        <v>68</v>
      </c>
      <c r="C3" s="40"/>
      <c r="D3" s="40"/>
      <c r="E3" s="40"/>
      <c r="F3" s="40"/>
      <c r="G3" s="40"/>
      <c r="H3" s="40"/>
      <c r="I3" s="39"/>
      <c r="J3" s="39"/>
    </row>
    <row r="4" spans="1:13">
      <c r="A4" s="38" t="s">
        <v>81</v>
      </c>
      <c r="B4" s="40" t="s">
        <v>62</v>
      </c>
      <c r="C4" s="52">
        <f>IF(B4='Base Cenários'!M2,'Base Cenários'!N2,(IF('Cenário B.1.1'!B4='Base Cenários'!M3,'Base Cenários'!N3,'Base Cenários'!N4)))</f>
        <v>6.5949999999999995E-2</v>
      </c>
      <c r="D4" s="40" t="s">
        <v>41</v>
      </c>
      <c r="E4" s="40"/>
      <c r="F4" s="40"/>
      <c r="G4" s="40"/>
      <c r="H4" s="40"/>
      <c r="I4" s="39"/>
      <c r="J4" s="39"/>
    </row>
    <row r="5" spans="1:13" ht="12.75" thickBot="1">
      <c r="A5" s="10"/>
      <c r="B5" s="10"/>
      <c r="C5" s="10"/>
      <c r="D5" s="10"/>
      <c r="E5" s="10"/>
      <c r="F5" s="10"/>
      <c r="H5" s="10"/>
      <c r="I5" s="41"/>
      <c r="J5" s="41"/>
      <c r="K5" s="10"/>
      <c r="L5" s="10"/>
      <c r="M5" s="10"/>
    </row>
    <row r="6" spans="1:13">
      <c r="A6" s="154" t="s">
        <v>46</v>
      </c>
      <c r="B6" s="154"/>
      <c r="C6" s="154"/>
      <c r="D6" s="154"/>
      <c r="E6" s="154"/>
      <c r="F6" s="154"/>
      <c r="H6" s="154" t="s">
        <v>47</v>
      </c>
      <c r="I6" s="154"/>
      <c r="J6" s="154"/>
      <c r="K6" s="154"/>
      <c r="L6" s="154"/>
      <c r="M6" s="154"/>
    </row>
    <row r="7" spans="1:13" s="11" customFormat="1">
      <c r="A7" s="155" t="s">
        <v>45</v>
      </c>
      <c r="B7" s="35" t="s">
        <v>1</v>
      </c>
      <c r="C7" s="35" t="s">
        <v>2</v>
      </c>
      <c r="D7" s="35" t="s">
        <v>3</v>
      </c>
      <c r="E7" s="35" t="s">
        <v>4</v>
      </c>
      <c r="F7" s="35" t="s">
        <v>5</v>
      </c>
      <c r="H7" s="155" t="s">
        <v>45</v>
      </c>
      <c r="I7" s="35" t="s">
        <v>1</v>
      </c>
      <c r="J7" s="35" t="s">
        <v>2</v>
      </c>
      <c r="K7" s="35" t="s">
        <v>3</v>
      </c>
      <c r="L7" s="35" t="s">
        <v>4</v>
      </c>
      <c r="M7" s="35" t="s">
        <v>5</v>
      </c>
    </row>
    <row r="8" spans="1:13">
      <c r="A8" s="156"/>
      <c r="B8" s="144" t="s">
        <v>39</v>
      </c>
      <c r="C8" s="144"/>
      <c r="D8" s="144"/>
      <c r="E8" s="144"/>
      <c r="F8" s="144"/>
      <c r="H8" s="156"/>
      <c r="I8" s="144" t="s">
        <v>48</v>
      </c>
      <c r="J8" s="144"/>
      <c r="K8" s="144"/>
      <c r="L8" s="144"/>
      <c r="M8" s="144"/>
    </row>
    <row r="9" spans="1:13">
      <c r="A9" s="8" t="s">
        <v>11</v>
      </c>
      <c r="B9" s="9">
        <f t="shared" ref="B9:B14" si="0">Q28</f>
        <v>0</v>
      </c>
      <c r="C9" s="9">
        <f>M42</f>
        <v>0</v>
      </c>
      <c r="D9" s="9">
        <f>O54</f>
        <v>0</v>
      </c>
      <c r="E9" s="9">
        <f>L66</f>
        <v>0</v>
      </c>
      <c r="F9" s="9">
        <f>O78</f>
        <v>0</v>
      </c>
      <c r="H9" s="8" t="s">
        <v>11</v>
      </c>
      <c r="I9" s="53">
        <f>IF(Renda!B20&gt;0,B9/Renda!B20,0)</f>
        <v>0</v>
      </c>
      <c r="J9" s="53">
        <f>IF(Renda!C20&gt;0,C9/Renda!C20,0)</f>
        <v>0</v>
      </c>
      <c r="K9" s="53">
        <f>IF(Renda!D20&gt;0,D9/Renda!D20,0)</f>
        <v>0</v>
      </c>
      <c r="L9" s="53">
        <f>IF(Renda!E20&gt;0,E9/Renda!E20,0)</f>
        <v>0</v>
      </c>
      <c r="M9" s="53">
        <f>IF(Renda!F20&gt;0,F9/Renda!F20,0)</f>
        <v>0</v>
      </c>
    </row>
    <row r="10" spans="1:13">
      <c r="A10" s="8" t="s">
        <v>12</v>
      </c>
      <c r="B10" s="9">
        <f t="shared" si="0"/>
        <v>0</v>
      </c>
      <c r="C10" s="9">
        <f t="shared" ref="C10:C14" si="1">M43</f>
        <v>0</v>
      </c>
      <c r="D10" s="9">
        <f t="shared" ref="D10:D14" si="2">O55</f>
        <v>0</v>
      </c>
      <c r="E10" s="9">
        <f t="shared" ref="E10:E14" si="3">L67</f>
        <v>0</v>
      </c>
      <c r="F10" s="9">
        <f t="shared" ref="F10:F14" si="4">O79</f>
        <v>0</v>
      </c>
      <c r="H10" s="8" t="s">
        <v>12</v>
      </c>
      <c r="I10" s="53">
        <f>IF(Renda!B21&gt;0,B10/Renda!B21,0)</f>
        <v>0</v>
      </c>
      <c r="J10" s="53">
        <f>IF(Renda!C21&gt;0,C10/Renda!C21,0)</f>
        <v>0</v>
      </c>
      <c r="K10" s="53">
        <f>IF(Renda!D21&gt;0,D10/Renda!D21,0)</f>
        <v>0</v>
      </c>
      <c r="L10" s="53">
        <f>IF(Renda!E21&gt;0,E10/Renda!E21,0)</f>
        <v>0</v>
      </c>
      <c r="M10" s="53">
        <f>IF(Renda!F21&gt;0,F10/Renda!F21,0)</f>
        <v>0</v>
      </c>
    </row>
    <row r="11" spans="1:13">
      <c r="A11" s="8" t="s">
        <v>13</v>
      </c>
      <c r="B11" s="9">
        <f t="shared" si="0"/>
        <v>0</v>
      </c>
      <c r="C11" s="9">
        <f t="shared" si="1"/>
        <v>0</v>
      </c>
      <c r="D11" s="9">
        <f t="shared" si="2"/>
        <v>0</v>
      </c>
      <c r="E11" s="9">
        <f t="shared" si="3"/>
        <v>0</v>
      </c>
      <c r="F11" s="9">
        <f t="shared" si="4"/>
        <v>0</v>
      </c>
      <c r="H11" s="8" t="s">
        <v>13</v>
      </c>
      <c r="I11" s="53">
        <f>IF(Renda!B22&gt;0,B11/Renda!B22,0)</f>
        <v>0</v>
      </c>
      <c r="J11" s="53">
        <f>IF(Renda!C22&gt;0,C11/Renda!C22,0)</f>
        <v>0</v>
      </c>
      <c r="K11" s="53">
        <f>IF(Renda!D22&gt;0,D11/Renda!D22,0)</f>
        <v>0</v>
      </c>
      <c r="L11" s="53">
        <f>IF(Renda!E22&gt;0,E11/Renda!E22,0)</f>
        <v>0</v>
      </c>
      <c r="M11" s="53">
        <f>IF(Renda!F22&gt;0,F11/Renda!F22,0)</f>
        <v>0</v>
      </c>
    </row>
    <row r="12" spans="1:13">
      <c r="A12" s="8" t="s">
        <v>14</v>
      </c>
      <c r="B12" s="9">
        <f t="shared" si="0"/>
        <v>4341400.8866942748</v>
      </c>
      <c r="C12" s="9">
        <f t="shared" si="1"/>
        <v>0</v>
      </c>
      <c r="D12" s="9">
        <f t="shared" si="2"/>
        <v>979384.76315614453</v>
      </c>
      <c r="E12" s="9">
        <f t="shared" si="3"/>
        <v>0</v>
      </c>
      <c r="F12" s="9">
        <f t="shared" si="4"/>
        <v>4764591.4635555819</v>
      </c>
      <c r="H12" s="8" t="s">
        <v>14</v>
      </c>
      <c r="I12" s="53">
        <f>IF(Renda!B23&gt;0,B12/Renda!B23,0)</f>
        <v>5.1073081115455637E-2</v>
      </c>
      <c r="J12" s="53">
        <f>IF(Renda!C23&gt;0,C12/Renda!C23,0)</f>
        <v>0</v>
      </c>
      <c r="K12" s="53">
        <f>IF(Renda!D23&gt;0,D12/Renda!D23,0)</f>
        <v>1.5978613739548407E-4</v>
      </c>
      <c r="L12" s="53">
        <f>IF(Renda!E23&gt;0,E12/Renda!E23,0)</f>
        <v>0</v>
      </c>
      <c r="M12" s="53">
        <f>IF(Renda!F23&gt;0,F12/Renda!F23,0)</f>
        <v>1.6463893824664451E-3</v>
      </c>
    </row>
    <row r="13" spans="1:13">
      <c r="A13" s="8" t="s">
        <v>15</v>
      </c>
      <c r="B13" s="9">
        <f t="shared" si="0"/>
        <v>0</v>
      </c>
      <c r="C13" s="9">
        <f t="shared" si="1"/>
        <v>0</v>
      </c>
      <c r="D13" s="9">
        <f t="shared" si="2"/>
        <v>0</v>
      </c>
      <c r="E13" s="9">
        <f t="shared" si="3"/>
        <v>0</v>
      </c>
      <c r="F13" s="9">
        <f t="shared" si="4"/>
        <v>0</v>
      </c>
      <c r="H13" s="8" t="s">
        <v>15</v>
      </c>
      <c r="I13" s="53">
        <f>IF(Renda!B24&gt;0,B13/Renda!B24,0)</f>
        <v>0</v>
      </c>
      <c r="J13" s="53">
        <f>IF(Renda!C24&gt;0,C13/Renda!C24,0)</f>
        <v>0</v>
      </c>
      <c r="K13" s="53">
        <f>IF(Renda!D24&gt;0,D13/Renda!D24,0)</f>
        <v>0</v>
      </c>
      <c r="L13" s="53">
        <f>IF(Renda!E24&gt;0,E13/Renda!E24,0)</f>
        <v>0</v>
      </c>
      <c r="M13" s="53">
        <f>IF(Renda!F24&gt;0,F13/Renda!F24,0)</f>
        <v>0</v>
      </c>
    </row>
    <row r="14" spans="1:13">
      <c r="A14" s="8" t="s">
        <v>16</v>
      </c>
      <c r="B14" s="9">
        <f t="shared" si="0"/>
        <v>1846.1779199999999</v>
      </c>
      <c r="C14" s="9">
        <f t="shared" si="1"/>
        <v>0</v>
      </c>
      <c r="D14" s="9">
        <f t="shared" si="2"/>
        <v>2602.7563199999991</v>
      </c>
      <c r="E14" s="9">
        <f t="shared" si="3"/>
        <v>0</v>
      </c>
      <c r="F14" s="9">
        <f t="shared" si="4"/>
        <v>0</v>
      </c>
      <c r="H14" s="8" t="s">
        <v>16</v>
      </c>
      <c r="I14" s="53">
        <f>IF(Renda!B25&gt;0,B14/Renda!B25,0)</f>
        <v>3.7451936678493535E-5</v>
      </c>
      <c r="J14" s="53">
        <f>IF(Renda!C25&gt;0,C14/Renda!C25,0)</f>
        <v>0</v>
      </c>
      <c r="K14" s="53">
        <f>IF(Renda!D25&gt;0,D14/Renda!D25,0)</f>
        <v>5.5205301699554567E-7</v>
      </c>
      <c r="L14" s="53">
        <f>IF(Renda!E25&gt;0,E14/Renda!E25,0)</f>
        <v>0</v>
      </c>
      <c r="M14" s="53">
        <f>IF(Renda!F25&gt;0,F14/Renda!F25,0)</f>
        <v>0</v>
      </c>
    </row>
    <row r="15" spans="1:13" ht="12.75" thickBot="1">
      <c r="A15" s="36" t="s">
        <v>17</v>
      </c>
      <c r="B15" s="37">
        <f>SUM(B9:B14)</f>
        <v>4343247.0646142745</v>
      </c>
      <c r="C15" s="37">
        <f t="shared" ref="C15:E15" si="5">SUM(C9:C14)</f>
        <v>0</v>
      </c>
      <c r="D15" s="37">
        <f t="shared" si="5"/>
        <v>981987.51947614457</v>
      </c>
      <c r="E15" s="37">
        <f t="shared" si="5"/>
        <v>0</v>
      </c>
      <c r="F15" s="37">
        <f>SUM(F9:F14)</f>
        <v>4764591.4635555819</v>
      </c>
      <c r="H15" s="36" t="s">
        <v>17</v>
      </c>
      <c r="I15" s="54">
        <f>IF(B15&gt;0,B15/Renda!B26,0)</f>
        <v>2.8377064264775799E-2</v>
      </c>
      <c r="J15" s="54">
        <f>IF(C15&gt;0,C15/Renda!C26,0)</f>
        <v>0</v>
      </c>
      <c r="K15" s="54">
        <f>IF(D15&gt;0,D15/Renda!D26,0)</f>
        <v>7.3353935649001948E-5</v>
      </c>
      <c r="L15" s="54">
        <f>IF(E15&gt;0,E15/Renda!E26,0)</f>
        <v>0</v>
      </c>
      <c r="M15" s="54">
        <f>IF(F15&gt;0,F15/Renda!F26,0)</f>
        <v>1.6463893824664451E-3</v>
      </c>
    </row>
    <row r="16" spans="1:13">
      <c r="A16" s="43"/>
      <c r="B16" s="73"/>
      <c r="C16" s="73"/>
      <c r="D16" s="73"/>
      <c r="E16" s="73"/>
      <c r="F16" s="73"/>
      <c r="H16" s="43"/>
      <c r="I16" s="74"/>
      <c r="J16" s="74"/>
      <c r="K16" s="74"/>
      <c r="L16" s="74"/>
      <c r="M16" s="74"/>
    </row>
    <row r="17" spans="1:17">
      <c r="A17" s="43"/>
      <c r="B17" s="73"/>
      <c r="C17" s="73"/>
      <c r="D17" s="73"/>
      <c r="E17" s="73"/>
      <c r="F17" s="73"/>
      <c r="H17" s="43"/>
      <c r="I17" s="74"/>
      <c r="J17" s="74"/>
      <c r="K17" s="74"/>
      <c r="L17" s="74"/>
      <c r="M17" s="74"/>
    </row>
    <row r="18" spans="1:17">
      <c r="A18" s="43" t="s">
        <v>49</v>
      </c>
      <c r="B18" s="73"/>
      <c r="C18" s="73"/>
      <c r="D18" s="73"/>
      <c r="E18" s="73"/>
      <c r="F18" s="73"/>
      <c r="H18" s="43"/>
      <c r="I18" s="74"/>
      <c r="J18" s="74"/>
      <c r="K18" s="74"/>
      <c r="L18" s="74"/>
      <c r="M18" s="74"/>
    </row>
    <row r="19" spans="1:17">
      <c r="A19" s="43"/>
      <c r="B19" s="73"/>
      <c r="C19" s="73"/>
      <c r="D19" s="73"/>
      <c r="E19" s="73"/>
      <c r="F19" s="73"/>
      <c r="H19" s="43"/>
      <c r="I19" s="74"/>
      <c r="J19" s="74"/>
      <c r="K19" s="74"/>
      <c r="L19" s="74"/>
      <c r="M19" s="74"/>
    </row>
    <row r="20" spans="1:17">
      <c r="A20" s="43"/>
      <c r="B20" s="73"/>
      <c r="C20" s="73"/>
      <c r="D20" s="73"/>
      <c r="E20" s="73"/>
      <c r="F20" s="73"/>
      <c r="H20" s="43"/>
      <c r="I20" s="74"/>
      <c r="J20" s="74"/>
      <c r="K20" s="74"/>
      <c r="L20" s="74"/>
      <c r="M20" s="74"/>
    </row>
    <row r="24" spans="1:17" ht="12.75" thickBot="1">
      <c r="A24" s="46"/>
      <c r="B24" s="10"/>
      <c r="C24" s="10"/>
      <c r="D24" s="10"/>
      <c r="E24" s="10"/>
      <c r="F24" s="10"/>
      <c r="G24" s="10"/>
      <c r="H24" s="10"/>
      <c r="I24" s="41"/>
      <c r="J24" s="41"/>
      <c r="K24" s="10"/>
      <c r="L24" s="10"/>
      <c r="M24" s="10"/>
      <c r="N24" s="10"/>
      <c r="O24" s="10"/>
      <c r="P24" s="10"/>
      <c r="Q24" s="10"/>
    </row>
    <row r="25" spans="1:17" ht="15.75" customHeight="1" thickBot="1">
      <c r="A25" s="157" t="s">
        <v>42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</row>
    <row r="26" spans="1:17" ht="36.75" customHeight="1" thickBot="1">
      <c r="A26" s="158" t="s">
        <v>36</v>
      </c>
      <c r="B26" s="160" t="s">
        <v>37</v>
      </c>
      <c r="C26" s="160"/>
      <c r="D26" s="160"/>
      <c r="E26" s="160"/>
      <c r="F26" s="160"/>
      <c r="G26" s="161" t="s">
        <v>86</v>
      </c>
      <c r="H26" s="161"/>
      <c r="I26" s="161"/>
      <c r="J26" s="161"/>
      <c r="K26" s="162" t="s">
        <v>88</v>
      </c>
      <c r="L26" s="162"/>
      <c r="M26" s="83" t="s">
        <v>91</v>
      </c>
      <c r="N26" s="163" t="s">
        <v>82</v>
      </c>
      <c r="O26" s="163"/>
      <c r="P26" s="163"/>
      <c r="Q26" s="163"/>
    </row>
    <row r="27" spans="1:17" ht="24.75" thickBot="1">
      <c r="A27" s="159"/>
      <c r="B27" s="44" t="s">
        <v>38</v>
      </c>
      <c r="C27" s="44" t="s">
        <v>87</v>
      </c>
      <c r="D27" s="44" t="s">
        <v>89</v>
      </c>
      <c r="E27" s="44" t="s">
        <v>90</v>
      </c>
      <c r="F27" s="44" t="s">
        <v>97</v>
      </c>
      <c r="G27" s="80" t="s">
        <v>99</v>
      </c>
      <c r="H27" s="80" t="s">
        <v>94</v>
      </c>
      <c r="I27" s="80" t="s">
        <v>95</v>
      </c>
      <c r="J27" s="80" t="s">
        <v>98</v>
      </c>
      <c r="K27" s="91" t="s">
        <v>96</v>
      </c>
      <c r="L27" s="91" t="s">
        <v>98</v>
      </c>
      <c r="M27" s="84" t="s">
        <v>92</v>
      </c>
      <c r="N27" s="88" t="s">
        <v>83</v>
      </c>
      <c r="O27" s="88" t="s">
        <v>84</v>
      </c>
      <c r="P27" s="88" t="s">
        <v>85</v>
      </c>
      <c r="Q27" s="88" t="s">
        <v>93</v>
      </c>
    </row>
    <row r="28" spans="1:17">
      <c r="A28" s="8" t="s">
        <v>11</v>
      </c>
      <c r="B28" s="50">
        <f>IF(B$3='Base Cenários'!A$3,'Base Cenários'!B7,(IF(B$3='Base Cenários'!A$14,'Base Cenários'!B18,'Base Cenários'!B29)))</f>
        <v>0</v>
      </c>
      <c r="C28" s="45">
        <f>B28*24*60*60*365</f>
        <v>0</v>
      </c>
      <c r="D28" s="76">
        <v>1</v>
      </c>
      <c r="E28" s="78">
        <v>1</v>
      </c>
      <c r="F28" s="92">
        <f>C$4</f>
        <v>6.5949999999999995E-2</v>
      </c>
      <c r="G28" s="81">
        <v>0.5</v>
      </c>
      <c r="H28" s="81">
        <f t="shared" ref="H28:H33" si="6">C28</f>
        <v>0</v>
      </c>
      <c r="I28" s="81">
        <v>0</v>
      </c>
      <c r="J28" s="95">
        <f>C$4</f>
        <v>6.5949999999999995E-2</v>
      </c>
      <c r="K28" s="47">
        <f>IF(B$3='Base Cenários'!A$3,'Base Cenários'!I7,(IF(B$3='Base Cenários'!A$14,'Base Cenários'!I18,'Base Cenários'!I29)))</f>
        <v>0</v>
      </c>
      <c r="L28" s="47">
        <f>C$4</f>
        <v>6.5949999999999995E-2</v>
      </c>
      <c r="M28" s="85">
        <v>1</v>
      </c>
      <c r="N28" s="89">
        <f>C28*D28*E28*F28</f>
        <v>0</v>
      </c>
      <c r="O28" s="89">
        <f>IF(H28&gt;0,(H28-I28)*J28*(C28/H28)*G28,0)</f>
        <v>0</v>
      </c>
      <c r="P28" s="89">
        <f>K28*L28</f>
        <v>0</v>
      </c>
      <c r="Q28" s="89">
        <f>(N28+O28+P28)*M28</f>
        <v>0</v>
      </c>
    </row>
    <row r="29" spans="1:17">
      <c r="A29" s="8" t="s">
        <v>12</v>
      </c>
      <c r="B29" s="50">
        <f>IF(B$3='Base Cenários'!A$3,'Base Cenários'!B8,(IF(B$3='Base Cenários'!A$14,'Base Cenários'!B19,'Base Cenários'!B30)))</f>
        <v>0</v>
      </c>
      <c r="C29" s="45">
        <f t="shared" ref="C29:C33" si="7">B29*24*60*60*365</f>
        <v>0</v>
      </c>
      <c r="D29" s="76">
        <v>1</v>
      </c>
      <c r="E29" s="78">
        <v>1</v>
      </c>
      <c r="F29" s="92">
        <f t="shared" ref="F29:F33" si="8">C$4</f>
        <v>6.5949999999999995E-2</v>
      </c>
      <c r="G29" s="81">
        <v>0.5</v>
      </c>
      <c r="H29" s="81">
        <f t="shared" si="6"/>
        <v>0</v>
      </c>
      <c r="I29" s="81">
        <v>0</v>
      </c>
      <c r="J29" s="95">
        <f t="shared" ref="J29:J33" si="9">C$4</f>
        <v>6.5949999999999995E-2</v>
      </c>
      <c r="K29" s="47">
        <f>IF(B$3='Base Cenários'!A$3,'Base Cenários'!I8,(IF(B$3='Base Cenários'!A$14,'Base Cenários'!I19,'Base Cenários'!I30)))</f>
        <v>0</v>
      </c>
      <c r="L29" s="47">
        <f t="shared" ref="L29:L33" si="10">C$4</f>
        <v>6.5949999999999995E-2</v>
      </c>
      <c r="M29" s="85">
        <v>1</v>
      </c>
      <c r="N29" s="89">
        <f>C29*D29*E29*F29</f>
        <v>0</v>
      </c>
      <c r="O29" s="89">
        <f t="shared" ref="O29:O33" si="11">IF(H29&gt;0,(H29-I29)*J29*(C29/H29)*G29,0)</f>
        <v>0</v>
      </c>
      <c r="P29" s="89">
        <f t="shared" ref="P29:P33" si="12">K29*L29</f>
        <v>0</v>
      </c>
      <c r="Q29" s="89">
        <f t="shared" ref="Q29:Q33" si="13">(N29+O29+P29)*M29</f>
        <v>0</v>
      </c>
    </row>
    <row r="30" spans="1:17">
      <c r="A30" s="8" t="s">
        <v>13</v>
      </c>
      <c r="B30" s="50">
        <f>IF(B$3='Base Cenários'!A$3,'Base Cenários'!B9,(IF(B$3='Base Cenários'!A$14,'Base Cenários'!B20,'Base Cenários'!B31)))</f>
        <v>0</v>
      </c>
      <c r="C30" s="45">
        <f t="shared" si="7"/>
        <v>0</v>
      </c>
      <c r="D30" s="76">
        <v>1</v>
      </c>
      <c r="E30" s="78">
        <v>0.85</v>
      </c>
      <c r="F30" s="92">
        <f t="shared" si="8"/>
        <v>6.5949999999999995E-2</v>
      </c>
      <c r="G30" s="81">
        <v>0.5</v>
      </c>
      <c r="H30" s="81">
        <f t="shared" si="6"/>
        <v>0</v>
      </c>
      <c r="I30" s="81">
        <v>0</v>
      </c>
      <c r="J30" s="95">
        <f t="shared" si="9"/>
        <v>6.5949999999999995E-2</v>
      </c>
      <c r="K30" s="47">
        <f>IF(B$3='Base Cenários'!A$3,'Base Cenários'!I9,(IF(B$3='Base Cenários'!A$14,'Base Cenários'!I20,'Base Cenários'!I31)))</f>
        <v>0</v>
      </c>
      <c r="L30" s="47">
        <f t="shared" si="10"/>
        <v>6.5949999999999995E-2</v>
      </c>
      <c r="M30" s="85">
        <v>1</v>
      </c>
      <c r="N30" s="89">
        <f t="shared" ref="N30:N33" si="14">C30*D30*E30*F30</f>
        <v>0</v>
      </c>
      <c r="O30" s="89">
        <f t="shared" si="11"/>
        <v>0</v>
      </c>
      <c r="P30" s="89">
        <f t="shared" si="12"/>
        <v>0</v>
      </c>
      <c r="Q30" s="89">
        <f t="shared" si="13"/>
        <v>0</v>
      </c>
    </row>
    <row r="31" spans="1:17">
      <c r="A31" s="8" t="s">
        <v>14</v>
      </c>
      <c r="B31" s="50">
        <f>IF(B$3='Base Cenários'!A$3,'Base Cenários'!B10,(IF(B$3='Base Cenários'!A$14,'Base Cenários'!B21,'Base Cenários'!B32)))</f>
        <v>1.4279999999999999</v>
      </c>
      <c r="C31" s="45">
        <f t="shared" si="7"/>
        <v>45033407.999999993</v>
      </c>
      <c r="D31" s="76">
        <v>1</v>
      </c>
      <c r="E31" s="78">
        <v>0.95</v>
      </c>
      <c r="F31" s="92">
        <f t="shared" si="8"/>
        <v>6.5949999999999995E-2</v>
      </c>
      <c r="G31" s="81">
        <v>0.5</v>
      </c>
      <c r="H31" s="81">
        <f t="shared" si="6"/>
        <v>45033407.999999993</v>
      </c>
      <c r="I31" s="81">
        <v>0</v>
      </c>
      <c r="J31" s="95">
        <f t="shared" si="9"/>
        <v>6.5949999999999995E-2</v>
      </c>
      <c r="K31" s="47">
        <f>IF(B$3='Base Cenários'!A$3,'Base Cenários'!I10,(IF(B$3='Base Cenários'!A$14,'Base Cenários'!I21,'Base Cenários'!I32)))</f>
        <v>530229.9192460269</v>
      </c>
      <c r="L31" s="47">
        <f t="shared" si="10"/>
        <v>6.5949999999999995E-2</v>
      </c>
      <c r="M31" s="85">
        <v>1</v>
      </c>
      <c r="N31" s="89">
        <f t="shared" si="14"/>
        <v>2821455.5947199995</v>
      </c>
      <c r="O31" s="89">
        <f t="shared" si="11"/>
        <v>1484976.6287999996</v>
      </c>
      <c r="P31" s="89">
        <f t="shared" si="12"/>
        <v>34968.663174275469</v>
      </c>
      <c r="Q31" s="89">
        <f t="shared" si="13"/>
        <v>4341400.8866942748</v>
      </c>
    </row>
    <row r="32" spans="1:17">
      <c r="A32" s="8" t="s">
        <v>15</v>
      </c>
      <c r="B32" s="50">
        <f>IF(B$3='Base Cenários'!A$3,'Base Cenários'!B11,(IF(B$3='Base Cenários'!A$14,'Base Cenários'!B22,'Base Cenários'!B33)))</f>
        <v>0</v>
      </c>
      <c r="C32" s="45">
        <f t="shared" si="7"/>
        <v>0</v>
      </c>
      <c r="D32" s="76">
        <v>1</v>
      </c>
      <c r="E32" s="78">
        <v>0.9</v>
      </c>
      <c r="F32" s="92">
        <f t="shared" si="8"/>
        <v>6.5949999999999995E-2</v>
      </c>
      <c r="G32" s="81">
        <v>0.5</v>
      </c>
      <c r="H32" s="81">
        <f t="shared" si="6"/>
        <v>0</v>
      </c>
      <c r="I32" s="81">
        <v>0</v>
      </c>
      <c r="J32" s="95">
        <f t="shared" si="9"/>
        <v>6.5949999999999995E-2</v>
      </c>
      <c r="K32" s="47">
        <f>IF(B$3='Base Cenários'!A$3,'Base Cenários'!I11,(IF(B$3='Base Cenários'!A$14,'Base Cenários'!I22,'Base Cenários'!I33)))</f>
        <v>0</v>
      </c>
      <c r="L32" s="47">
        <f t="shared" si="10"/>
        <v>6.5949999999999995E-2</v>
      </c>
      <c r="M32" s="85">
        <v>1</v>
      </c>
      <c r="N32" s="89">
        <f t="shared" si="14"/>
        <v>0</v>
      </c>
      <c r="O32" s="89">
        <f t="shared" si="11"/>
        <v>0</v>
      </c>
      <c r="P32" s="89">
        <f t="shared" si="12"/>
        <v>0</v>
      </c>
      <c r="Q32" s="89">
        <f t="shared" si="13"/>
        <v>0</v>
      </c>
    </row>
    <row r="33" spans="1:17" ht="12.75" thickBot="1">
      <c r="A33" s="10" t="s">
        <v>16</v>
      </c>
      <c r="B33" s="51">
        <f>IF(B$3='Base Cenários'!A$3,'Base Cenários'!B12,(IF(B$3='Base Cenários'!A$14,'Base Cenários'!B23,'Base Cenários'!B34)))</f>
        <v>0</v>
      </c>
      <c r="C33" s="51">
        <f t="shared" si="7"/>
        <v>0</v>
      </c>
      <c r="D33" s="77">
        <v>1</v>
      </c>
      <c r="E33" s="79">
        <v>1</v>
      </c>
      <c r="F33" s="93">
        <f t="shared" si="8"/>
        <v>6.5949999999999995E-2</v>
      </c>
      <c r="G33" s="82">
        <v>0.5</v>
      </c>
      <c r="H33" s="82">
        <f t="shared" si="6"/>
        <v>0</v>
      </c>
      <c r="I33" s="82">
        <v>0</v>
      </c>
      <c r="J33" s="96">
        <f t="shared" si="9"/>
        <v>6.5949999999999995E-2</v>
      </c>
      <c r="K33" s="48">
        <f>IF(B$3='Base Cenários'!A$3,'Base Cenários'!I12,(IF(B$3='Base Cenários'!A$14,'Base Cenários'!I23,'Base Cenários'!I34)))</f>
        <v>27993.599999999999</v>
      </c>
      <c r="L33" s="48">
        <f t="shared" si="10"/>
        <v>6.5949999999999995E-2</v>
      </c>
      <c r="M33" s="86">
        <v>1</v>
      </c>
      <c r="N33" s="90">
        <f t="shared" si="14"/>
        <v>0</v>
      </c>
      <c r="O33" s="90">
        <f t="shared" si="11"/>
        <v>0</v>
      </c>
      <c r="P33" s="90">
        <f t="shared" si="12"/>
        <v>1846.1779199999999</v>
      </c>
      <c r="Q33" s="90">
        <f t="shared" si="13"/>
        <v>1846.1779199999999</v>
      </c>
    </row>
    <row r="34" spans="1:17" ht="12.75" thickBot="1">
      <c r="I34" s="8"/>
      <c r="M34" s="42"/>
      <c r="P34" s="46" t="s">
        <v>40</v>
      </c>
      <c r="Q34" s="94">
        <f>SUM(Q28:Q33)</f>
        <v>4343247.0646142745</v>
      </c>
    </row>
    <row r="35" spans="1:17">
      <c r="I35" s="8"/>
      <c r="M35" s="42"/>
      <c r="P35" s="43"/>
      <c r="Q35" s="73"/>
    </row>
    <row r="36" spans="1:17">
      <c r="I36" s="8"/>
      <c r="M36" s="42"/>
      <c r="P36" s="43"/>
      <c r="Q36" s="73"/>
    </row>
    <row r="37" spans="1:17">
      <c r="I37" s="8"/>
      <c r="M37" s="42"/>
      <c r="P37" s="43"/>
      <c r="Q37" s="73"/>
    </row>
    <row r="38" spans="1:17" ht="12.75" thickBot="1">
      <c r="A38" s="10"/>
      <c r="B38" s="10"/>
      <c r="C38" s="10"/>
      <c r="D38" s="10"/>
      <c r="E38" s="10"/>
      <c r="F38" s="10"/>
      <c r="G38" s="10"/>
      <c r="H38" s="10"/>
      <c r="I38" s="10"/>
      <c r="J38" s="41"/>
      <c r="K38" s="10"/>
      <c r="L38" s="10"/>
      <c r="M38" s="41"/>
    </row>
    <row r="39" spans="1:17" ht="15.75" customHeight="1" thickBot="1">
      <c r="A39" s="157" t="s">
        <v>43</v>
      </c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</row>
    <row r="40" spans="1:17" ht="15.75" customHeight="1" thickBot="1">
      <c r="A40" s="158" t="s">
        <v>36</v>
      </c>
      <c r="B40" s="160" t="s">
        <v>37</v>
      </c>
      <c r="C40" s="160"/>
      <c r="D40" s="160"/>
      <c r="E40" s="160"/>
      <c r="F40" s="161" t="s">
        <v>86</v>
      </c>
      <c r="G40" s="161"/>
      <c r="H40" s="161"/>
      <c r="I40" s="83" t="s">
        <v>91</v>
      </c>
      <c r="J40" s="97" t="s">
        <v>101</v>
      </c>
      <c r="K40" s="163" t="s">
        <v>82</v>
      </c>
      <c r="L40" s="163"/>
      <c r="M40" s="163"/>
    </row>
    <row r="41" spans="1:17" ht="12.75" thickBot="1">
      <c r="A41" s="159"/>
      <c r="B41" s="44" t="s">
        <v>38</v>
      </c>
      <c r="C41" s="44" t="s">
        <v>87</v>
      </c>
      <c r="D41" s="44" t="s">
        <v>89</v>
      </c>
      <c r="E41" s="44" t="s">
        <v>97</v>
      </c>
      <c r="F41" s="80" t="s">
        <v>94</v>
      </c>
      <c r="G41" s="80" t="s">
        <v>95</v>
      </c>
      <c r="H41" s="80" t="s">
        <v>98</v>
      </c>
      <c r="I41" s="84" t="s">
        <v>92</v>
      </c>
      <c r="J41" s="87" t="s">
        <v>102</v>
      </c>
      <c r="K41" s="88" t="s">
        <v>83</v>
      </c>
      <c r="L41" s="88" t="s">
        <v>84</v>
      </c>
      <c r="M41" s="88" t="s">
        <v>93</v>
      </c>
    </row>
    <row r="42" spans="1:17">
      <c r="A42" s="8" t="s">
        <v>11</v>
      </c>
      <c r="B42" s="50">
        <f>IF(B$3='Base Cenários'!A$3,'Base Cenários'!C7,(IF(B$3='Base Cenários'!A$14,'Base Cenários'!C18,'Base Cenários'!C29)))</f>
        <v>0</v>
      </c>
      <c r="C42" s="45">
        <f>B42*24*60*60*365</f>
        <v>0</v>
      </c>
      <c r="D42" s="76">
        <v>1</v>
      </c>
      <c r="E42" s="92">
        <f>C$4</f>
        <v>6.5949999999999995E-2</v>
      </c>
      <c r="F42" s="81">
        <f t="shared" ref="F42:F47" si="15">C42</f>
        <v>0</v>
      </c>
      <c r="G42" s="81">
        <v>0</v>
      </c>
      <c r="H42" s="95">
        <f>C$4</f>
        <v>6.5949999999999995E-2</v>
      </c>
      <c r="I42" s="85">
        <v>1</v>
      </c>
      <c r="J42" s="98">
        <v>0.1</v>
      </c>
      <c r="K42" s="89">
        <f t="shared" ref="K42:K47" si="16">C42*D42*E42</f>
        <v>0</v>
      </c>
      <c r="L42" s="89">
        <f t="shared" ref="L42:L47" si="17">IF(F42&gt;0,(F42-G42)*H42*(C42/F42),0)</f>
        <v>0</v>
      </c>
      <c r="M42" s="89">
        <f>(K42+L42)*I42*J42</f>
        <v>0</v>
      </c>
    </row>
    <row r="43" spans="1:17">
      <c r="A43" s="8" t="s">
        <v>12</v>
      </c>
      <c r="B43" s="50">
        <f>IF(B$3='Base Cenários'!A$3,'Base Cenários'!C8,(IF(B$3='Base Cenários'!A$14,'Base Cenários'!C19,'Base Cenários'!C30)))</f>
        <v>0</v>
      </c>
      <c r="C43" s="45">
        <f t="shared" ref="C43:C47" si="18">B43*24*60*60*365</f>
        <v>0</v>
      </c>
      <c r="D43" s="76">
        <v>1</v>
      </c>
      <c r="E43" s="92">
        <f t="shared" ref="E43:E47" si="19">C$4</f>
        <v>6.5949999999999995E-2</v>
      </c>
      <c r="F43" s="81">
        <f t="shared" si="15"/>
        <v>0</v>
      </c>
      <c r="G43" s="81">
        <v>0</v>
      </c>
      <c r="H43" s="95">
        <f t="shared" ref="H43:H47" si="20">C$4</f>
        <v>6.5949999999999995E-2</v>
      </c>
      <c r="I43" s="85">
        <v>1</v>
      </c>
      <c r="J43" s="98">
        <v>0.1</v>
      </c>
      <c r="K43" s="89">
        <f t="shared" si="16"/>
        <v>0</v>
      </c>
      <c r="L43" s="89">
        <f t="shared" si="17"/>
        <v>0</v>
      </c>
      <c r="M43" s="89">
        <f t="shared" ref="M43:M47" si="21">(K43+L43)*I43*J43</f>
        <v>0</v>
      </c>
    </row>
    <row r="44" spans="1:17">
      <c r="A44" s="8" t="s">
        <v>13</v>
      </c>
      <c r="B44" s="50">
        <f>IF(B$3='Base Cenários'!A$3,'Base Cenários'!C9,(IF(B$3='Base Cenários'!A$14,'Base Cenários'!C20,'Base Cenários'!C31)))</f>
        <v>0</v>
      </c>
      <c r="C44" s="45">
        <f t="shared" si="18"/>
        <v>0</v>
      </c>
      <c r="D44" s="76">
        <v>1</v>
      </c>
      <c r="E44" s="92">
        <f t="shared" si="19"/>
        <v>6.5949999999999995E-2</v>
      </c>
      <c r="F44" s="81">
        <f t="shared" si="15"/>
        <v>0</v>
      </c>
      <c r="G44" s="81">
        <v>0</v>
      </c>
      <c r="H44" s="95">
        <f t="shared" si="20"/>
        <v>6.5949999999999995E-2</v>
      </c>
      <c r="I44" s="85">
        <v>1</v>
      </c>
      <c r="J44" s="98">
        <v>0.1</v>
      </c>
      <c r="K44" s="89">
        <f t="shared" si="16"/>
        <v>0</v>
      </c>
      <c r="L44" s="89">
        <f t="shared" si="17"/>
        <v>0</v>
      </c>
      <c r="M44" s="89">
        <f t="shared" si="21"/>
        <v>0</v>
      </c>
    </row>
    <row r="45" spans="1:17">
      <c r="A45" s="8" t="s">
        <v>14</v>
      </c>
      <c r="B45" s="50">
        <f>IF(B$3='Base Cenários'!A$3,'Base Cenários'!C10,(IF(B$3='Base Cenários'!A$14,'Base Cenários'!C21,'Base Cenários'!C32)))</f>
        <v>0</v>
      </c>
      <c r="C45" s="45">
        <f t="shared" si="18"/>
        <v>0</v>
      </c>
      <c r="D45" s="76">
        <v>1</v>
      </c>
      <c r="E45" s="92">
        <f t="shared" si="19"/>
        <v>6.5949999999999995E-2</v>
      </c>
      <c r="F45" s="81">
        <f t="shared" si="15"/>
        <v>0</v>
      </c>
      <c r="G45" s="81">
        <v>0</v>
      </c>
      <c r="H45" s="95">
        <f t="shared" si="20"/>
        <v>6.5949999999999995E-2</v>
      </c>
      <c r="I45" s="85">
        <v>1</v>
      </c>
      <c r="J45" s="98">
        <v>0.1</v>
      </c>
      <c r="K45" s="89">
        <f t="shared" si="16"/>
        <v>0</v>
      </c>
      <c r="L45" s="89">
        <f t="shared" si="17"/>
        <v>0</v>
      </c>
      <c r="M45" s="89">
        <f t="shared" si="21"/>
        <v>0</v>
      </c>
    </row>
    <row r="46" spans="1:17">
      <c r="A46" s="8" t="s">
        <v>15</v>
      </c>
      <c r="B46" s="50">
        <f>IF(B$3='Base Cenários'!A$3,'Base Cenários'!C11,(IF(B$3='Base Cenários'!A$14,'Base Cenários'!C22,'Base Cenários'!C33)))</f>
        <v>0</v>
      </c>
      <c r="C46" s="45">
        <f t="shared" si="18"/>
        <v>0</v>
      </c>
      <c r="D46" s="76">
        <v>1</v>
      </c>
      <c r="E46" s="92">
        <f t="shared" si="19"/>
        <v>6.5949999999999995E-2</v>
      </c>
      <c r="F46" s="81">
        <f t="shared" si="15"/>
        <v>0</v>
      </c>
      <c r="G46" s="81">
        <v>0</v>
      </c>
      <c r="H46" s="95">
        <f t="shared" si="20"/>
        <v>6.5949999999999995E-2</v>
      </c>
      <c r="I46" s="85">
        <v>1</v>
      </c>
      <c r="J46" s="98">
        <v>0.1</v>
      </c>
      <c r="K46" s="89">
        <f t="shared" si="16"/>
        <v>0</v>
      </c>
      <c r="L46" s="89">
        <f t="shared" si="17"/>
        <v>0</v>
      </c>
      <c r="M46" s="89">
        <f t="shared" si="21"/>
        <v>0</v>
      </c>
    </row>
    <row r="47" spans="1:17" ht="12.75" thickBot="1">
      <c r="A47" s="10" t="s">
        <v>16</v>
      </c>
      <c r="B47" s="51">
        <f>IF(B$3='Base Cenários'!A$3,'Base Cenários'!C12,(IF(B$3='Base Cenários'!A$14,'Base Cenários'!C23,'Base Cenários'!C34)))</f>
        <v>0</v>
      </c>
      <c r="C47" s="51">
        <f t="shared" si="18"/>
        <v>0</v>
      </c>
      <c r="D47" s="77">
        <v>1</v>
      </c>
      <c r="E47" s="93">
        <f t="shared" si="19"/>
        <v>6.5949999999999995E-2</v>
      </c>
      <c r="F47" s="82">
        <f t="shared" si="15"/>
        <v>0</v>
      </c>
      <c r="G47" s="82">
        <v>0</v>
      </c>
      <c r="H47" s="96">
        <f t="shared" si="20"/>
        <v>6.5949999999999995E-2</v>
      </c>
      <c r="I47" s="86">
        <v>1</v>
      </c>
      <c r="J47" s="99">
        <v>0.1</v>
      </c>
      <c r="K47" s="90">
        <f t="shared" si="16"/>
        <v>0</v>
      </c>
      <c r="L47" s="90">
        <f t="shared" si="17"/>
        <v>0</v>
      </c>
      <c r="M47" s="90">
        <f t="shared" si="21"/>
        <v>0</v>
      </c>
    </row>
    <row r="48" spans="1:17" ht="12.75" thickBot="1">
      <c r="L48" s="46" t="s">
        <v>40</v>
      </c>
      <c r="M48" s="94">
        <f>SUM(M42:M47)</f>
        <v>0</v>
      </c>
    </row>
    <row r="50" spans="1:15" ht="12.75" thickBot="1">
      <c r="A50" s="10"/>
      <c r="B50" s="10"/>
      <c r="C50" s="10"/>
      <c r="D50" s="10"/>
      <c r="E50" s="10"/>
      <c r="F50" s="10"/>
      <c r="G50" s="10"/>
      <c r="H50" s="10"/>
      <c r="I50" s="41"/>
      <c r="J50" s="41"/>
      <c r="K50" s="10"/>
      <c r="L50" s="10"/>
      <c r="M50" s="10"/>
      <c r="N50" s="10"/>
      <c r="O50" s="10"/>
    </row>
    <row r="51" spans="1:15" ht="15.75" customHeight="1" thickBot="1">
      <c r="A51" s="165" t="s">
        <v>3</v>
      </c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</row>
    <row r="52" spans="1:15" ht="15.75" customHeight="1" thickBot="1">
      <c r="A52" s="158" t="s">
        <v>36</v>
      </c>
      <c r="B52" s="75" t="s">
        <v>37</v>
      </c>
      <c r="C52" s="75"/>
      <c r="D52" s="75"/>
      <c r="E52" s="75"/>
      <c r="F52" s="164" t="s">
        <v>86</v>
      </c>
      <c r="G52" s="164"/>
      <c r="H52" s="164"/>
      <c r="I52" s="162" t="s">
        <v>88</v>
      </c>
      <c r="J52" s="162"/>
      <c r="K52" s="83" t="s">
        <v>91</v>
      </c>
      <c r="L52" s="163" t="s">
        <v>82</v>
      </c>
      <c r="M52" s="163"/>
      <c r="N52" s="163"/>
      <c r="O52" s="163"/>
    </row>
    <row r="53" spans="1:15" ht="12.75" thickBot="1">
      <c r="A53" s="159"/>
      <c r="B53" s="44" t="s">
        <v>38</v>
      </c>
      <c r="C53" s="44" t="s">
        <v>87</v>
      </c>
      <c r="D53" s="44" t="s">
        <v>89</v>
      </c>
      <c r="E53" s="44" t="s">
        <v>97</v>
      </c>
      <c r="F53" s="80" t="s">
        <v>94</v>
      </c>
      <c r="G53" s="80" t="s">
        <v>95</v>
      </c>
      <c r="H53" s="80" t="s">
        <v>98</v>
      </c>
      <c r="I53" s="91" t="s">
        <v>96</v>
      </c>
      <c r="J53" s="91" t="s">
        <v>98</v>
      </c>
      <c r="K53" s="84" t="s">
        <v>92</v>
      </c>
      <c r="L53" s="88" t="s">
        <v>83</v>
      </c>
      <c r="M53" s="88" t="s">
        <v>84</v>
      </c>
      <c r="N53" s="88" t="s">
        <v>85</v>
      </c>
      <c r="O53" s="88" t="s">
        <v>93</v>
      </c>
    </row>
    <row r="54" spans="1:15">
      <c r="A54" s="8" t="s">
        <v>11</v>
      </c>
      <c r="B54" s="50">
        <f>IF(B$3='Base Cenários'!A$3,'Base Cenários'!D7,(IF(B$3='Base Cenários'!A$14,'Base Cenários'!D18,'Base Cenários'!D29)))</f>
        <v>0</v>
      </c>
      <c r="C54" s="45">
        <f>B54*24*60*60*365</f>
        <v>0</v>
      </c>
      <c r="D54" s="76">
        <v>1</v>
      </c>
      <c r="E54" s="92">
        <f>C$4</f>
        <v>6.5949999999999995E-2</v>
      </c>
      <c r="F54" s="81">
        <f t="shared" ref="F54:F59" si="22">C54</f>
        <v>0</v>
      </c>
      <c r="G54" s="81">
        <v>0</v>
      </c>
      <c r="H54" s="95">
        <f>C$4</f>
        <v>6.5949999999999995E-2</v>
      </c>
      <c r="I54" s="47">
        <f>IF(B$3='Base Cenários'!A$3,'Base Cenários'!J7,(IF(B$3='Base Cenários'!A$14,'Base Cenários'!J18,'Base Cenários'!J29)))</f>
        <v>0</v>
      </c>
      <c r="J54" s="47">
        <f>C$4</f>
        <v>6.5949999999999995E-2</v>
      </c>
      <c r="K54" s="85">
        <v>1</v>
      </c>
      <c r="L54" s="89">
        <f>C54*D54*E54</f>
        <v>0</v>
      </c>
      <c r="M54" s="89">
        <f>IF(F54&gt;0,(F54-G54)*H54*(C54/F54),0)</f>
        <v>0</v>
      </c>
      <c r="N54" s="89">
        <f>I54*J54</f>
        <v>0</v>
      </c>
      <c r="O54" s="89">
        <f>(L54+M54+N54)*K54</f>
        <v>0</v>
      </c>
    </row>
    <row r="55" spans="1:15">
      <c r="A55" s="8" t="s">
        <v>12</v>
      </c>
      <c r="B55" s="50">
        <f>IF(B$3='Base Cenários'!A$3,'Base Cenários'!D8,(IF(B$3='Base Cenários'!A$14,'Base Cenários'!D19,'Base Cenários'!D30)))</f>
        <v>0</v>
      </c>
      <c r="C55" s="45">
        <f t="shared" ref="C55:C59" si="23">B55*24*60*60*365</f>
        <v>0</v>
      </c>
      <c r="D55" s="76">
        <v>1</v>
      </c>
      <c r="E55" s="92">
        <f t="shared" ref="E55:E59" si="24">C$4</f>
        <v>6.5949999999999995E-2</v>
      </c>
      <c r="F55" s="81">
        <f t="shared" si="22"/>
        <v>0</v>
      </c>
      <c r="G55" s="81">
        <v>0</v>
      </c>
      <c r="H55" s="95">
        <f t="shared" ref="H55:H59" si="25">C$4</f>
        <v>6.5949999999999995E-2</v>
      </c>
      <c r="I55" s="47">
        <f>IF(B$3='Base Cenários'!A$3,'Base Cenários'!J8,(IF(B$3='Base Cenários'!A$14,'Base Cenários'!J19,'Base Cenários'!J30)))</f>
        <v>0</v>
      </c>
      <c r="J55" s="47">
        <f t="shared" ref="J55:J59" si="26">C$4</f>
        <v>6.5949999999999995E-2</v>
      </c>
      <c r="K55" s="85">
        <v>1</v>
      </c>
      <c r="L55" s="89">
        <f t="shared" ref="L55:L59" si="27">C55*D55*E55</f>
        <v>0</v>
      </c>
      <c r="M55" s="89">
        <f t="shared" ref="M55:M59" si="28">IF(F55&gt;0,(F55-G55)*H55*(C55/F55),0)</f>
        <v>0</v>
      </c>
      <c r="N55" s="89">
        <f t="shared" ref="N55:N59" si="29">I55*J55</f>
        <v>0</v>
      </c>
      <c r="O55" s="89">
        <f t="shared" ref="O55:O59" si="30">(L55+M55+N55)*K55</f>
        <v>0</v>
      </c>
    </row>
    <row r="56" spans="1:15">
      <c r="A56" s="8" t="s">
        <v>13</v>
      </c>
      <c r="B56" s="50">
        <f>IF(B$3='Base Cenários'!A$3,'Base Cenários'!D9,(IF(B$3='Base Cenários'!A$14,'Base Cenários'!D20,'Base Cenários'!D31)))</f>
        <v>0</v>
      </c>
      <c r="C56" s="45">
        <f t="shared" si="23"/>
        <v>0</v>
      </c>
      <c r="D56" s="76">
        <v>1</v>
      </c>
      <c r="E56" s="92">
        <f t="shared" si="24"/>
        <v>6.5949999999999995E-2</v>
      </c>
      <c r="F56" s="81">
        <f t="shared" si="22"/>
        <v>0</v>
      </c>
      <c r="G56" s="81">
        <v>0</v>
      </c>
      <c r="H56" s="95">
        <f t="shared" si="25"/>
        <v>6.5949999999999995E-2</v>
      </c>
      <c r="I56" s="47">
        <f>IF(B$3='Base Cenários'!A$3,'Base Cenários'!J9,(IF(B$3='Base Cenários'!A$14,'Base Cenários'!J20,'Base Cenários'!J31)))</f>
        <v>0</v>
      </c>
      <c r="J56" s="47">
        <f t="shared" si="26"/>
        <v>6.5949999999999995E-2</v>
      </c>
      <c r="K56" s="85">
        <v>1</v>
      </c>
      <c r="L56" s="89">
        <f t="shared" si="27"/>
        <v>0</v>
      </c>
      <c r="M56" s="89">
        <f t="shared" si="28"/>
        <v>0</v>
      </c>
      <c r="N56" s="89">
        <f t="shared" si="29"/>
        <v>0</v>
      </c>
      <c r="O56" s="89">
        <f t="shared" si="30"/>
        <v>0</v>
      </c>
    </row>
    <row r="57" spans="1:15">
      <c r="A57" s="8" t="s">
        <v>14</v>
      </c>
      <c r="B57" s="50">
        <f>IF(B$3='Base Cenários'!A$3,'Base Cenários'!D10,(IF(B$3='Base Cenários'!A$14,'Base Cenários'!D21,'Base Cenários'!D32)))</f>
        <v>0.23543264205986808</v>
      </c>
      <c r="C57" s="45">
        <f t="shared" si="23"/>
        <v>7424603.7999999998</v>
      </c>
      <c r="D57" s="76">
        <v>1</v>
      </c>
      <c r="E57" s="92">
        <f t="shared" si="24"/>
        <v>6.5949999999999995E-2</v>
      </c>
      <c r="F57" s="81">
        <f t="shared" si="22"/>
        <v>7424603.7999999998</v>
      </c>
      <c r="G57" s="81">
        <v>0</v>
      </c>
      <c r="H57" s="95">
        <f t="shared" si="25"/>
        <v>6.5949999999999995E-2</v>
      </c>
      <c r="I57" s="47">
        <f>IF(B$3='Base Cenários'!A$3,'Base Cenários'!J10,(IF(B$3='Base Cenários'!A$14,'Base Cenários'!J21,'Base Cenários'!J32)))</f>
        <v>1205.7912986301369</v>
      </c>
      <c r="J57" s="47">
        <f t="shared" si="26"/>
        <v>6.5949999999999995E-2</v>
      </c>
      <c r="K57" s="85">
        <v>1</v>
      </c>
      <c r="L57" s="89">
        <f t="shared" si="27"/>
        <v>489652.62060999993</v>
      </c>
      <c r="M57" s="89">
        <f t="shared" si="28"/>
        <v>489652.62060999993</v>
      </c>
      <c r="N57" s="89">
        <f t="shared" si="29"/>
        <v>79.521936144657516</v>
      </c>
      <c r="O57" s="89">
        <f t="shared" si="30"/>
        <v>979384.76315614453</v>
      </c>
    </row>
    <row r="58" spans="1:15">
      <c r="A58" s="8" t="s">
        <v>15</v>
      </c>
      <c r="B58" s="50">
        <f>IF(B$3='Base Cenários'!A$3,'Base Cenários'!D11,(IF(B$3='Base Cenários'!A$14,'Base Cenários'!D22,'Base Cenários'!D33)))</f>
        <v>0</v>
      </c>
      <c r="C58" s="45">
        <f t="shared" si="23"/>
        <v>0</v>
      </c>
      <c r="D58" s="76">
        <v>1</v>
      </c>
      <c r="E58" s="92">
        <f t="shared" si="24"/>
        <v>6.5949999999999995E-2</v>
      </c>
      <c r="F58" s="81">
        <f t="shared" si="22"/>
        <v>0</v>
      </c>
      <c r="G58" s="81">
        <v>0</v>
      </c>
      <c r="H58" s="95">
        <f t="shared" si="25"/>
        <v>6.5949999999999995E-2</v>
      </c>
      <c r="I58" s="47">
        <f>IF(B$3='Base Cenários'!A$3,'Base Cenários'!J11,(IF(B$3='Base Cenários'!A$14,'Base Cenários'!J22,'Base Cenários'!J33)))</f>
        <v>0</v>
      </c>
      <c r="J58" s="47">
        <f t="shared" si="26"/>
        <v>6.5949999999999995E-2</v>
      </c>
      <c r="K58" s="85">
        <v>1</v>
      </c>
      <c r="L58" s="89">
        <f t="shared" si="27"/>
        <v>0</v>
      </c>
      <c r="M58" s="89">
        <f t="shared" si="28"/>
        <v>0</v>
      </c>
      <c r="N58" s="89">
        <f t="shared" si="29"/>
        <v>0</v>
      </c>
      <c r="O58" s="89">
        <f t="shared" si="30"/>
        <v>0</v>
      </c>
    </row>
    <row r="59" spans="1:15" ht="12.75" thickBot="1">
      <c r="A59" s="10" t="s">
        <v>16</v>
      </c>
      <c r="B59" s="51">
        <f>IF(B$3='Base Cenários'!A$3,'Base Cenários'!D12,(IF(B$3='Base Cenários'!A$14,'Base Cenários'!D23,'Base Cenários'!D34)))</f>
        <v>6.2572298325722976E-4</v>
      </c>
      <c r="C59" s="51">
        <f t="shared" si="23"/>
        <v>19732.799999999996</v>
      </c>
      <c r="D59" s="77">
        <v>1</v>
      </c>
      <c r="E59" s="93">
        <f t="shared" si="24"/>
        <v>6.5949999999999995E-2</v>
      </c>
      <c r="F59" s="82">
        <f t="shared" si="22"/>
        <v>19732.799999999996</v>
      </c>
      <c r="G59" s="82">
        <v>0</v>
      </c>
      <c r="H59" s="96">
        <f t="shared" si="25"/>
        <v>6.5949999999999995E-2</v>
      </c>
      <c r="I59" s="48">
        <f>IF(B$3='Base Cenários'!A$3,'Base Cenários'!J12,(IF(B$3='Base Cenários'!A$14,'Base Cenários'!J23,'Base Cenários'!J34)))</f>
        <v>0</v>
      </c>
      <c r="J59" s="48">
        <f t="shared" si="26"/>
        <v>6.5949999999999995E-2</v>
      </c>
      <c r="K59" s="86">
        <v>1</v>
      </c>
      <c r="L59" s="90">
        <f t="shared" si="27"/>
        <v>1301.3781599999995</v>
      </c>
      <c r="M59" s="90">
        <f t="shared" si="28"/>
        <v>1301.3781599999995</v>
      </c>
      <c r="N59" s="90">
        <f t="shared" si="29"/>
        <v>0</v>
      </c>
      <c r="O59" s="90">
        <f t="shared" si="30"/>
        <v>2602.7563199999991</v>
      </c>
    </row>
    <row r="60" spans="1:15" ht="12.75" thickBot="1">
      <c r="N60" s="46" t="s">
        <v>40</v>
      </c>
      <c r="O60" s="94">
        <f>SUM(O54:O59)</f>
        <v>981987.51947614457</v>
      </c>
    </row>
    <row r="62" spans="1:15" ht="12.75" thickBot="1">
      <c r="A62" s="10"/>
      <c r="B62" s="10"/>
      <c r="C62" s="10"/>
      <c r="D62" s="10"/>
      <c r="E62" s="10"/>
      <c r="F62" s="10"/>
      <c r="G62" s="10"/>
      <c r="H62" s="10"/>
      <c r="I62" s="41"/>
      <c r="J62" s="41"/>
      <c r="K62" s="10"/>
      <c r="L62" s="10"/>
    </row>
    <row r="63" spans="1:15" ht="15.75" customHeight="1" thickBot="1">
      <c r="A63" s="165" t="s">
        <v>4</v>
      </c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</row>
    <row r="64" spans="1:15" ht="15.75" customHeight="1" thickBot="1">
      <c r="A64" s="158" t="s">
        <v>36</v>
      </c>
      <c r="B64" s="160" t="s">
        <v>37</v>
      </c>
      <c r="C64" s="160"/>
      <c r="D64" s="160"/>
      <c r="E64" s="160"/>
      <c r="F64" s="164" t="s">
        <v>86</v>
      </c>
      <c r="G64" s="164"/>
      <c r="H64" s="83" t="s">
        <v>91</v>
      </c>
      <c r="I64" s="97" t="s">
        <v>101</v>
      </c>
      <c r="J64" s="163" t="s">
        <v>82</v>
      </c>
      <c r="K64" s="163"/>
      <c r="L64" s="163"/>
    </row>
    <row r="65" spans="1:15" ht="12.75" thickBot="1">
      <c r="A65" s="159"/>
      <c r="B65" s="44" t="s">
        <v>38</v>
      </c>
      <c r="C65" s="44" t="s">
        <v>87</v>
      </c>
      <c r="D65" s="44" t="s">
        <v>89</v>
      </c>
      <c r="E65" s="44" t="s">
        <v>97</v>
      </c>
      <c r="F65" s="80" t="s">
        <v>99</v>
      </c>
      <c r="G65" s="80" t="s">
        <v>98</v>
      </c>
      <c r="H65" s="84" t="s">
        <v>92</v>
      </c>
      <c r="I65" s="87" t="s">
        <v>102</v>
      </c>
      <c r="J65" s="88" t="s">
        <v>83</v>
      </c>
      <c r="K65" s="88" t="s">
        <v>84</v>
      </c>
      <c r="L65" s="88" t="s">
        <v>93</v>
      </c>
    </row>
    <row r="66" spans="1:15">
      <c r="A66" s="8" t="s">
        <v>11</v>
      </c>
      <c r="B66" s="50">
        <f>IF(B$3='Base Cenários'!A$3,'Base Cenários'!E7,(IF(B$3='Base Cenários'!A$14,'Base Cenários'!E18,'Base Cenários'!E29)))</f>
        <v>0</v>
      </c>
      <c r="C66" s="45">
        <f>B66*24*60*60*365</f>
        <v>0</v>
      </c>
      <c r="D66" s="76">
        <v>1</v>
      </c>
      <c r="E66" s="92">
        <f>C$4</f>
        <v>6.5949999999999995E-2</v>
      </c>
      <c r="F66" s="81">
        <v>0.75</v>
      </c>
      <c r="G66" s="95">
        <f>C$4</f>
        <v>6.5949999999999995E-2</v>
      </c>
      <c r="H66" s="85">
        <v>1</v>
      </c>
      <c r="I66" s="98">
        <v>0.5</v>
      </c>
      <c r="J66" s="89">
        <f t="shared" ref="J66:J71" si="31">C66*D66*E66</f>
        <v>0</v>
      </c>
      <c r="K66" s="89">
        <f>C66*F66*G66</f>
        <v>0</v>
      </c>
      <c r="L66" s="89">
        <f>(J66+K66)*H66*I66</f>
        <v>0</v>
      </c>
    </row>
    <row r="67" spans="1:15">
      <c r="A67" s="8" t="s">
        <v>12</v>
      </c>
      <c r="B67" s="50">
        <f>IF(B$3='Base Cenários'!A$3,'Base Cenários'!E8,(IF(B$3='Base Cenários'!A$14,'Base Cenários'!E19,'Base Cenários'!E30)))</f>
        <v>0</v>
      </c>
      <c r="C67" s="45">
        <f t="shared" ref="C67:C71" si="32">B67*24*60*60*365</f>
        <v>0</v>
      </c>
      <c r="D67" s="76">
        <v>1</v>
      </c>
      <c r="E67" s="92">
        <f t="shared" ref="E67:E71" si="33">C$4</f>
        <v>6.5949999999999995E-2</v>
      </c>
      <c r="F67" s="81">
        <v>0.75</v>
      </c>
      <c r="G67" s="95">
        <f t="shared" ref="G67:G71" si="34">C$4</f>
        <v>6.5949999999999995E-2</v>
      </c>
      <c r="H67" s="85">
        <v>1</v>
      </c>
      <c r="I67" s="98">
        <v>0.5</v>
      </c>
      <c r="J67" s="89">
        <f t="shared" si="31"/>
        <v>0</v>
      </c>
      <c r="K67" s="89">
        <f t="shared" ref="K67:K71" si="35">C67*F67*G67</f>
        <v>0</v>
      </c>
      <c r="L67" s="89">
        <f t="shared" ref="L67:L71" si="36">(J67+K67)*H67*I67</f>
        <v>0</v>
      </c>
    </row>
    <row r="68" spans="1:15">
      <c r="A68" s="8" t="s">
        <v>13</v>
      </c>
      <c r="B68" s="50">
        <f>IF(B$3='Base Cenários'!A$3,'Base Cenários'!E9,(IF(B$3='Base Cenários'!A$14,'Base Cenários'!E20,'Base Cenários'!E31)))</f>
        <v>0</v>
      </c>
      <c r="C68" s="45">
        <f t="shared" si="32"/>
        <v>0</v>
      </c>
      <c r="D68" s="76">
        <v>1</v>
      </c>
      <c r="E68" s="92">
        <f t="shared" si="33"/>
        <v>6.5949999999999995E-2</v>
      </c>
      <c r="F68" s="81">
        <v>0.75</v>
      </c>
      <c r="G68" s="95">
        <f t="shared" si="34"/>
        <v>6.5949999999999995E-2</v>
      </c>
      <c r="H68" s="85">
        <v>1</v>
      </c>
      <c r="I68" s="98">
        <v>0.5</v>
      </c>
      <c r="J68" s="89">
        <f t="shared" si="31"/>
        <v>0</v>
      </c>
      <c r="K68" s="89">
        <f t="shared" si="35"/>
        <v>0</v>
      </c>
      <c r="L68" s="89">
        <f t="shared" si="36"/>
        <v>0</v>
      </c>
    </row>
    <row r="69" spans="1:15">
      <c r="A69" s="8" t="s">
        <v>14</v>
      </c>
      <c r="B69" s="50">
        <f>IF(B$3='Base Cenários'!A$3,'Base Cenários'!E10,(IF(B$3='Base Cenários'!A$14,'Base Cenários'!E21,'Base Cenários'!E32)))</f>
        <v>0</v>
      </c>
      <c r="C69" s="45">
        <f t="shared" si="32"/>
        <v>0</v>
      </c>
      <c r="D69" s="76">
        <v>1</v>
      </c>
      <c r="E69" s="92">
        <f t="shared" si="33"/>
        <v>6.5949999999999995E-2</v>
      </c>
      <c r="F69" s="81">
        <v>0.75</v>
      </c>
      <c r="G69" s="95">
        <f t="shared" si="34"/>
        <v>6.5949999999999995E-2</v>
      </c>
      <c r="H69" s="85">
        <v>1</v>
      </c>
      <c r="I69" s="98">
        <v>0.5</v>
      </c>
      <c r="J69" s="89">
        <f t="shared" si="31"/>
        <v>0</v>
      </c>
      <c r="K69" s="89">
        <f t="shared" si="35"/>
        <v>0</v>
      </c>
      <c r="L69" s="89">
        <f t="shared" si="36"/>
        <v>0</v>
      </c>
    </row>
    <row r="70" spans="1:15">
      <c r="A70" s="8" t="s">
        <v>15</v>
      </c>
      <c r="B70" s="50">
        <f>IF(B$3='Base Cenários'!A$3,'Base Cenários'!E11,(IF(B$3='Base Cenários'!A$14,'Base Cenários'!E22,'Base Cenários'!E33)))</f>
        <v>0</v>
      </c>
      <c r="C70" s="45">
        <f t="shared" si="32"/>
        <v>0</v>
      </c>
      <c r="D70" s="76">
        <v>1</v>
      </c>
      <c r="E70" s="92">
        <f t="shared" si="33"/>
        <v>6.5949999999999995E-2</v>
      </c>
      <c r="F70" s="81">
        <v>0.75</v>
      </c>
      <c r="G70" s="95">
        <f t="shared" si="34"/>
        <v>6.5949999999999995E-2</v>
      </c>
      <c r="H70" s="85">
        <v>1</v>
      </c>
      <c r="I70" s="98">
        <v>0.5</v>
      </c>
      <c r="J70" s="89">
        <f t="shared" si="31"/>
        <v>0</v>
      </c>
      <c r="K70" s="89">
        <f t="shared" si="35"/>
        <v>0</v>
      </c>
      <c r="L70" s="89">
        <f t="shared" si="36"/>
        <v>0</v>
      </c>
    </row>
    <row r="71" spans="1:15" ht="12.75" thickBot="1">
      <c r="A71" s="10" t="s">
        <v>16</v>
      </c>
      <c r="B71" s="51">
        <f>IF(B$3='Base Cenários'!A$3,'Base Cenários'!E12,(IF(B$3='Base Cenários'!A$14,'Base Cenários'!E23,'Base Cenários'!E34)))</f>
        <v>0</v>
      </c>
      <c r="C71" s="51">
        <f t="shared" si="32"/>
        <v>0</v>
      </c>
      <c r="D71" s="77">
        <v>1</v>
      </c>
      <c r="E71" s="93">
        <f t="shared" si="33"/>
        <v>6.5949999999999995E-2</v>
      </c>
      <c r="F71" s="82">
        <v>0.75</v>
      </c>
      <c r="G71" s="96">
        <f t="shared" si="34"/>
        <v>6.5949999999999995E-2</v>
      </c>
      <c r="H71" s="86">
        <v>1</v>
      </c>
      <c r="I71" s="99">
        <v>0.5</v>
      </c>
      <c r="J71" s="90">
        <f t="shared" si="31"/>
        <v>0</v>
      </c>
      <c r="K71" s="90">
        <f t="shared" si="35"/>
        <v>0</v>
      </c>
      <c r="L71" s="90">
        <f t="shared" si="36"/>
        <v>0</v>
      </c>
    </row>
    <row r="72" spans="1:15" ht="12.75" thickBot="1">
      <c r="K72" s="46" t="s">
        <v>40</v>
      </c>
      <c r="L72" s="94">
        <f>SUM(L66:L71)</f>
        <v>0</v>
      </c>
    </row>
    <row r="73" spans="1:15">
      <c r="K73" s="43"/>
      <c r="L73" s="73"/>
    </row>
    <row r="74" spans="1:15" ht="12.75" thickBot="1"/>
    <row r="75" spans="1:15" ht="12.75" thickBot="1">
      <c r="A75" s="165" t="s">
        <v>44</v>
      </c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</row>
    <row r="76" spans="1:15" ht="15.75" customHeight="1" thickBot="1">
      <c r="A76" s="158" t="s">
        <v>36</v>
      </c>
      <c r="B76" s="75" t="s">
        <v>37</v>
      </c>
      <c r="C76" s="75"/>
      <c r="D76" s="75"/>
      <c r="E76" s="75"/>
      <c r="F76" s="164" t="s">
        <v>86</v>
      </c>
      <c r="G76" s="164"/>
      <c r="H76" s="164"/>
      <c r="I76" s="162" t="s">
        <v>88</v>
      </c>
      <c r="J76" s="162"/>
      <c r="K76" s="83" t="s">
        <v>91</v>
      </c>
      <c r="L76" s="163" t="s">
        <v>82</v>
      </c>
      <c r="M76" s="163"/>
      <c r="N76" s="163"/>
      <c r="O76" s="163"/>
    </row>
    <row r="77" spans="1:15" ht="12.75" thickBot="1">
      <c r="A77" s="159"/>
      <c r="B77" s="44" t="s">
        <v>38</v>
      </c>
      <c r="C77" s="44" t="s">
        <v>87</v>
      </c>
      <c r="D77" s="44" t="s">
        <v>89</v>
      </c>
      <c r="E77" s="44" t="s">
        <v>97</v>
      </c>
      <c r="F77" s="80" t="s">
        <v>94</v>
      </c>
      <c r="G77" s="80" t="s">
        <v>95</v>
      </c>
      <c r="H77" s="80" t="s">
        <v>98</v>
      </c>
      <c r="I77" s="91" t="s">
        <v>96</v>
      </c>
      <c r="J77" s="91" t="s">
        <v>98</v>
      </c>
      <c r="K77" s="84" t="s">
        <v>92</v>
      </c>
      <c r="L77" s="88" t="s">
        <v>83</v>
      </c>
      <c r="M77" s="88" t="s">
        <v>84</v>
      </c>
      <c r="N77" s="88" t="s">
        <v>85</v>
      </c>
      <c r="O77" s="88" t="s">
        <v>93</v>
      </c>
    </row>
    <row r="78" spans="1:15">
      <c r="A78" s="8" t="s">
        <v>11</v>
      </c>
      <c r="B78" s="50">
        <f>IF(B$3='Base Cenários'!A$3,'Base Cenários'!F7,(IF(B$3='Base Cenários'!A$14,'Base Cenários'!F18,'Base Cenários'!F29)))</f>
        <v>0</v>
      </c>
      <c r="C78" s="45">
        <f>B78*24*60*60*365</f>
        <v>0</v>
      </c>
      <c r="D78" s="76">
        <v>1</v>
      </c>
      <c r="E78" s="92">
        <f>C$4</f>
        <v>6.5949999999999995E-2</v>
      </c>
      <c r="F78" s="81">
        <f t="shared" ref="F78:F83" si="37">C78</f>
        <v>0</v>
      </c>
      <c r="G78" s="81">
        <v>0</v>
      </c>
      <c r="H78" s="95">
        <f>C$4</f>
        <v>6.5949999999999995E-2</v>
      </c>
      <c r="I78" s="47">
        <f>IF(B$3='Base Cenários'!A$3,'Base Cenários'!K7,(IF(B$3='Base Cenários'!A$14,'Base Cenários'!K18,'Base Cenários'!K29)))</f>
        <v>0</v>
      </c>
      <c r="J78" s="47">
        <f>C$4</f>
        <v>6.5949999999999995E-2</v>
      </c>
      <c r="K78" s="85">
        <v>1</v>
      </c>
      <c r="L78" s="89">
        <f>C78*D78*E78</f>
        <v>0</v>
      </c>
      <c r="M78" s="89">
        <f>IF(F78&gt;0,(F78-G78)*H78*(C78/F78),0)</f>
        <v>0</v>
      </c>
      <c r="N78" s="89">
        <f>I78*J78</f>
        <v>0</v>
      </c>
      <c r="O78" s="89">
        <f>(L78+M78+N78)*K78</f>
        <v>0</v>
      </c>
    </row>
    <row r="79" spans="1:15">
      <c r="A79" s="8" t="s">
        <v>12</v>
      </c>
      <c r="B79" s="50">
        <f>IF(B$3='Base Cenários'!A$3,'Base Cenários'!F8,(IF(B$3='Base Cenários'!A$14,'Base Cenários'!F19,'Base Cenários'!F30)))</f>
        <v>0</v>
      </c>
      <c r="C79" s="45">
        <f t="shared" ref="C79:C83" si="38">B79*24*60*60*365</f>
        <v>0</v>
      </c>
      <c r="D79" s="76">
        <v>1</v>
      </c>
      <c r="E79" s="92">
        <f t="shared" ref="E79:E83" si="39">C$4</f>
        <v>6.5949999999999995E-2</v>
      </c>
      <c r="F79" s="81">
        <f t="shared" si="37"/>
        <v>0</v>
      </c>
      <c r="G79" s="81">
        <v>0</v>
      </c>
      <c r="H79" s="95">
        <f t="shared" ref="H79:H83" si="40">C$4</f>
        <v>6.5949999999999995E-2</v>
      </c>
      <c r="I79" s="47">
        <f>IF(B$3='Base Cenários'!A$3,'Base Cenários'!K8,(IF(B$3='Base Cenários'!A$14,'Base Cenários'!K19,'Base Cenários'!K30)))</f>
        <v>0</v>
      </c>
      <c r="J79" s="47">
        <f t="shared" ref="J79:J83" si="41">C$4</f>
        <v>6.5949999999999995E-2</v>
      </c>
      <c r="K79" s="85">
        <v>1</v>
      </c>
      <c r="L79" s="89">
        <f t="shared" ref="L79:L83" si="42">C79*D79*E79</f>
        <v>0</v>
      </c>
      <c r="M79" s="89">
        <f t="shared" ref="M79:M83" si="43">IF(F79&gt;0,(F79-G79)*H79*(C79/F79),0)</f>
        <v>0</v>
      </c>
      <c r="N79" s="89">
        <f t="shared" ref="N79:N83" si="44">I79*J79</f>
        <v>0</v>
      </c>
      <c r="O79" s="89">
        <f t="shared" ref="O79:O83" si="45">(L79+M79+N79)*K79</f>
        <v>0</v>
      </c>
    </row>
    <row r="80" spans="1:15">
      <c r="A80" s="8" t="s">
        <v>13</v>
      </c>
      <c r="B80" s="50">
        <f>IF(B$3='Base Cenários'!A$3,'Base Cenários'!F9,(IF(B$3='Base Cenários'!A$14,'Base Cenários'!F20,'Base Cenários'!F31)))</f>
        <v>0</v>
      </c>
      <c r="C80" s="45">
        <f t="shared" si="38"/>
        <v>0</v>
      </c>
      <c r="D80" s="76">
        <v>1</v>
      </c>
      <c r="E80" s="92">
        <f t="shared" si="39"/>
        <v>6.5949999999999995E-2</v>
      </c>
      <c r="F80" s="81">
        <f t="shared" si="37"/>
        <v>0</v>
      </c>
      <c r="G80" s="81">
        <v>0</v>
      </c>
      <c r="H80" s="95">
        <f t="shared" si="40"/>
        <v>6.5949999999999995E-2</v>
      </c>
      <c r="I80" s="47">
        <f>IF(B$3='Base Cenários'!A$3,'Base Cenários'!K9,(IF(B$3='Base Cenários'!A$14,'Base Cenários'!K20,'Base Cenários'!K31)))</f>
        <v>0</v>
      </c>
      <c r="J80" s="47">
        <f t="shared" si="41"/>
        <v>6.5949999999999995E-2</v>
      </c>
      <c r="K80" s="85">
        <v>1</v>
      </c>
      <c r="L80" s="89">
        <f t="shared" si="42"/>
        <v>0</v>
      </c>
      <c r="M80" s="89">
        <f t="shared" si="43"/>
        <v>0</v>
      </c>
      <c r="N80" s="89">
        <f t="shared" si="44"/>
        <v>0</v>
      </c>
      <c r="O80" s="89">
        <f t="shared" si="45"/>
        <v>0</v>
      </c>
    </row>
    <row r="81" spans="1:15">
      <c r="A81" s="8" t="s">
        <v>14</v>
      </c>
      <c r="B81" s="50">
        <f>IF(B$3='Base Cenários'!A$3,'Base Cenários'!F10,(IF(B$3='Base Cenários'!A$14,'Base Cenários'!F21,'Base Cenários'!F32)))</f>
        <v>1.1408401826484014</v>
      </c>
      <c r="C81" s="45">
        <f t="shared" si="38"/>
        <v>35977535.999999985</v>
      </c>
      <c r="D81" s="76">
        <v>1</v>
      </c>
      <c r="E81" s="92">
        <f t="shared" si="39"/>
        <v>6.5949999999999995E-2</v>
      </c>
      <c r="F81" s="81">
        <f t="shared" si="37"/>
        <v>35977535.999999985</v>
      </c>
      <c r="G81" s="81">
        <v>0</v>
      </c>
      <c r="H81" s="95">
        <f t="shared" si="40"/>
        <v>6.5949999999999995E-2</v>
      </c>
      <c r="I81" s="47">
        <f>IF(B$3='Base Cenários'!A$3,'Base Cenários'!K10,(IF(B$3='Base Cenários'!A$14,'Base Cenários'!K21,'Base Cenários'!K32)))</f>
        <v>290439.19872000004</v>
      </c>
      <c r="J81" s="47">
        <f t="shared" si="41"/>
        <v>6.5949999999999995E-2</v>
      </c>
      <c r="K81" s="85">
        <v>1</v>
      </c>
      <c r="L81" s="89">
        <f t="shared" si="42"/>
        <v>2372718.499199999</v>
      </c>
      <c r="M81" s="89">
        <f t="shared" si="43"/>
        <v>2372718.499199999</v>
      </c>
      <c r="N81" s="89">
        <f t="shared" si="44"/>
        <v>19154.465155584003</v>
      </c>
      <c r="O81" s="89">
        <f t="shared" si="45"/>
        <v>4764591.4635555819</v>
      </c>
    </row>
    <row r="82" spans="1:15">
      <c r="A82" s="8" t="s">
        <v>15</v>
      </c>
      <c r="B82" s="50">
        <f>IF(B$3='Base Cenários'!A$3,'Base Cenários'!F11,(IF(B$3='Base Cenários'!A$14,'Base Cenários'!F22,'Base Cenários'!F33)))</f>
        <v>0</v>
      </c>
      <c r="C82" s="45">
        <f t="shared" si="38"/>
        <v>0</v>
      </c>
      <c r="D82" s="76">
        <v>1</v>
      </c>
      <c r="E82" s="92">
        <f t="shared" si="39"/>
        <v>6.5949999999999995E-2</v>
      </c>
      <c r="F82" s="81">
        <f t="shared" si="37"/>
        <v>0</v>
      </c>
      <c r="G82" s="81">
        <v>0</v>
      </c>
      <c r="H82" s="95">
        <f t="shared" si="40"/>
        <v>6.5949999999999995E-2</v>
      </c>
      <c r="I82" s="47">
        <f>IF(B$3='Base Cenários'!A$3,'Base Cenários'!K11,(IF(B$3='Base Cenários'!A$14,'Base Cenários'!K22,'Base Cenários'!K33)))</f>
        <v>0</v>
      </c>
      <c r="J82" s="47">
        <f t="shared" si="41"/>
        <v>6.5949999999999995E-2</v>
      </c>
      <c r="K82" s="85">
        <v>1</v>
      </c>
      <c r="L82" s="89">
        <f t="shared" si="42"/>
        <v>0</v>
      </c>
      <c r="M82" s="89">
        <f t="shared" si="43"/>
        <v>0</v>
      </c>
      <c r="N82" s="89">
        <f t="shared" si="44"/>
        <v>0</v>
      </c>
      <c r="O82" s="89">
        <f t="shared" si="45"/>
        <v>0</v>
      </c>
    </row>
    <row r="83" spans="1:15" ht="12.75" thickBot="1">
      <c r="A83" s="10" t="s">
        <v>16</v>
      </c>
      <c r="B83" s="51">
        <f>IF(B$3='Base Cenários'!A$3,'Base Cenários'!F12,(IF(B$3='Base Cenários'!A$14,'Base Cenários'!F23,'Base Cenários'!F34)))</f>
        <v>0</v>
      </c>
      <c r="C83" s="51">
        <f t="shared" si="38"/>
        <v>0</v>
      </c>
      <c r="D83" s="77">
        <v>1</v>
      </c>
      <c r="E83" s="93">
        <f t="shared" si="39"/>
        <v>6.5949999999999995E-2</v>
      </c>
      <c r="F83" s="82">
        <f t="shared" si="37"/>
        <v>0</v>
      </c>
      <c r="G83" s="82">
        <v>0</v>
      </c>
      <c r="H83" s="96">
        <f t="shared" si="40"/>
        <v>6.5949999999999995E-2</v>
      </c>
      <c r="I83" s="48">
        <f>IF(B$3='Base Cenários'!A$3,'Base Cenários'!K12,(IF(B$3='Base Cenários'!A$14,'Base Cenários'!K23,'Base Cenários'!K34)))</f>
        <v>0</v>
      </c>
      <c r="J83" s="48">
        <f t="shared" si="41"/>
        <v>6.5949999999999995E-2</v>
      </c>
      <c r="K83" s="86">
        <v>1</v>
      </c>
      <c r="L83" s="90">
        <f t="shared" si="42"/>
        <v>0</v>
      </c>
      <c r="M83" s="90">
        <f t="shared" si="43"/>
        <v>0</v>
      </c>
      <c r="N83" s="90">
        <f t="shared" si="44"/>
        <v>0</v>
      </c>
      <c r="O83" s="90">
        <f t="shared" si="45"/>
        <v>0</v>
      </c>
    </row>
    <row r="84" spans="1:15" ht="12.75" thickBot="1">
      <c r="N84" s="46" t="s">
        <v>40</v>
      </c>
      <c r="O84" s="94">
        <f>SUM(O78:O83)</f>
        <v>4764591.4635555819</v>
      </c>
    </row>
  </sheetData>
  <mergeCells count="34">
    <mergeCell ref="A75:O75"/>
    <mergeCell ref="A76:A77"/>
    <mergeCell ref="F76:H76"/>
    <mergeCell ref="I76:J76"/>
    <mergeCell ref="L76:O76"/>
    <mergeCell ref="A64:A65"/>
    <mergeCell ref="B64:E64"/>
    <mergeCell ref="F64:G64"/>
    <mergeCell ref="J64:L64"/>
    <mergeCell ref="A39:M39"/>
    <mergeCell ref="A40:A41"/>
    <mergeCell ref="B40:E40"/>
    <mergeCell ref="F40:H40"/>
    <mergeCell ref="K40:M40"/>
    <mergeCell ref="A51:O51"/>
    <mergeCell ref="A52:A53"/>
    <mergeCell ref="F52:H52"/>
    <mergeCell ref="I52:J52"/>
    <mergeCell ref="L52:O52"/>
    <mergeCell ref="A63:L63"/>
    <mergeCell ref="A25:Q25"/>
    <mergeCell ref="A26:A27"/>
    <mergeCell ref="B26:F26"/>
    <mergeCell ref="G26:J26"/>
    <mergeCell ref="K26:L26"/>
    <mergeCell ref="N26:Q26"/>
    <mergeCell ref="A1:M1"/>
    <mergeCell ref="B2:I2"/>
    <mergeCell ref="A6:F6"/>
    <mergeCell ref="H6:M6"/>
    <mergeCell ref="A7:A8"/>
    <mergeCell ref="H7:H8"/>
    <mergeCell ref="B8:F8"/>
    <mergeCell ref="I8:M8"/>
  </mergeCells>
  <dataValidations count="2">
    <dataValidation type="list" allowBlank="1" showInputMessage="1" showErrorMessage="1" sqref="B3" xr:uid="{0B5D84BB-93CE-412A-9381-EBFF1B5804C6}">
      <formula1>"Cenário 1,Cenário 2,Cenário 3"</formula1>
    </dataValidation>
    <dataValidation type="list" allowBlank="1" showInputMessage="1" showErrorMessage="1" sqref="B4" xr:uid="{A3C1229C-45E2-4636-B05A-DA3FD17F1399}">
      <formula1>"PPU 1,PPU 2,PPU 3"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DDA4A-9A8D-4185-93B7-AD2F94AE0BEA}">
  <dimension ref="A1:Q84"/>
  <sheetViews>
    <sheetView topLeftCell="E1" workbookViewId="0">
      <selection activeCell="M15" sqref="M15"/>
    </sheetView>
  </sheetViews>
  <sheetFormatPr defaultColWidth="9.125" defaultRowHeight="12"/>
  <cols>
    <col min="1" max="1" width="19.75" style="8" bestFit="1" customWidth="1"/>
    <col min="2" max="2" width="16.25" style="8" bestFit="1" customWidth="1"/>
    <col min="3" max="4" width="15.25" style="8" bestFit="1" customWidth="1"/>
    <col min="5" max="5" width="12.75" style="8" bestFit="1" customWidth="1"/>
    <col min="6" max="6" width="16.125" style="8" bestFit="1" customWidth="1"/>
    <col min="7" max="7" width="12.375" style="8" customWidth="1"/>
    <col min="8" max="8" width="18" style="8" customWidth="1"/>
    <col min="9" max="9" width="15.875" style="42" bestFit="1" customWidth="1"/>
    <col min="10" max="10" width="16.125" style="42" bestFit="1" customWidth="1"/>
    <col min="11" max="11" width="13.625" style="8" bestFit="1" customWidth="1"/>
    <col min="12" max="13" width="15" style="8" bestFit="1" customWidth="1"/>
    <col min="14" max="14" width="16" style="8" bestFit="1" customWidth="1"/>
    <col min="15" max="15" width="15" style="8" bestFit="1" customWidth="1"/>
    <col min="16" max="16" width="13.625" style="8" bestFit="1" customWidth="1"/>
    <col min="17" max="17" width="15" style="8" bestFit="1" customWidth="1"/>
    <col min="18" max="16384" width="9.125" style="8"/>
  </cols>
  <sheetData>
    <row r="1" spans="1:13" ht="15.75">
      <c r="A1" s="152" t="s">
        <v>114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</row>
    <row r="2" spans="1:13">
      <c r="A2" s="38" t="s">
        <v>34</v>
      </c>
      <c r="B2" s="153" t="s">
        <v>100</v>
      </c>
      <c r="C2" s="153"/>
      <c r="D2" s="153"/>
      <c r="E2" s="153"/>
      <c r="F2" s="153"/>
      <c r="G2" s="153"/>
      <c r="H2" s="153"/>
      <c r="I2" s="153"/>
      <c r="J2" s="39"/>
    </row>
    <row r="3" spans="1:13">
      <c r="A3" s="38" t="s">
        <v>35</v>
      </c>
      <c r="B3" s="40" t="s">
        <v>68</v>
      </c>
      <c r="C3" s="40"/>
      <c r="D3" s="40"/>
      <c r="E3" s="40"/>
      <c r="F3" s="40"/>
      <c r="G3" s="40"/>
      <c r="H3" s="40"/>
      <c r="I3" s="39"/>
      <c r="J3" s="39"/>
    </row>
    <row r="4" spans="1:13">
      <c r="A4" s="38" t="s">
        <v>81</v>
      </c>
      <c r="B4" s="40" t="s">
        <v>63</v>
      </c>
      <c r="C4" s="52">
        <f>IF(B4='Base Cenários'!M2,'Base Cenários'!N2,(IF('Cenário B.1.2'!B4='Base Cenários'!M3,'Base Cenários'!N3,'Base Cenários'!N4)))</f>
        <v>8.405E-2</v>
      </c>
      <c r="D4" s="40" t="s">
        <v>41</v>
      </c>
      <c r="E4" s="40"/>
      <c r="F4" s="40"/>
      <c r="G4" s="40"/>
      <c r="H4" s="40"/>
      <c r="I4" s="39"/>
      <c r="J4" s="39"/>
    </row>
    <row r="5" spans="1:13" ht="12.75" thickBot="1">
      <c r="A5" s="10"/>
      <c r="B5" s="10"/>
      <c r="C5" s="10"/>
      <c r="D5" s="10"/>
      <c r="E5" s="10"/>
      <c r="F5" s="10"/>
      <c r="H5" s="10"/>
      <c r="I5" s="41"/>
      <c r="J5" s="41"/>
      <c r="K5" s="10"/>
      <c r="L5" s="10"/>
      <c r="M5" s="10"/>
    </row>
    <row r="6" spans="1:13">
      <c r="A6" s="154" t="s">
        <v>46</v>
      </c>
      <c r="B6" s="154"/>
      <c r="C6" s="154"/>
      <c r="D6" s="154"/>
      <c r="E6" s="154"/>
      <c r="F6" s="154"/>
      <c r="H6" s="154" t="s">
        <v>47</v>
      </c>
      <c r="I6" s="154"/>
      <c r="J6" s="154"/>
      <c r="K6" s="154"/>
      <c r="L6" s="154"/>
      <c r="M6" s="154"/>
    </row>
    <row r="7" spans="1:13" s="11" customFormat="1">
      <c r="A7" s="155" t="s">
        <v>45</v>
      </c>
      <c r="B7" s="35" t="s">
        <v>1</v>
      </c>
      <c r="C7" s="35" t="s">
        <v>2</v>
      </c>
      <c r="D7" s="35" t="s">
        <v>3</v>
      </c>
      <c r="E7" s="35" t="s">
        <v>4</v>
      </c>
      <c r="F7" s="35" t="s">
        <v>5</v>
      </c>
      <c r="H7" s="155" t="s">
        <v>45</v>
      </c>
      <c r="I7" s="35" t="s">
        <v>1</v>
      </c>
      <c r="J7" s="35" t="s">
        <v>2</v>
      </c>
      <c r="K7" s="35" t="s">
        <v>3</v>
      </c>
      <c r="L7" s="35" t="s">
        <v>4</v>
      </c>
      <c r="M7" s="35" t="s">
        <v>5</v>
      </c>
    </row>
    <row r="8" spans="1:13">
      <c r="A8" s="156"/>
      <c r="B8" s="144" t="s">
        <v>39</v>
      </c>
      <c r="C8" s="144"/>
      <c r="D8" s="144"/>
      <c r="E8" s="144"/>
      <c r="F8" s="144"/>
      <c r="H8" s="156"/>
      <c r="I8" s="144" t="s">
        <v>48</v>
      </c>
      <c r="J8" s="144"/>
      <c r="K8" s="144"/>
      <c r="L8" s="144"/>
      <c r="M8" s="144"/>
    </row>
    <row r="9" spans="1:13">
      <c r="A9" s="8" t="s">
        <v>11</v>
      </c>
      <c r="B9" s="9">
        <f t="shared" ref="B9:B14" si="0">Q28</f>
        <v>0</v>
      </c>
      <c r="C9" s="9">
        <f>M42</f>
        <v>0</v>
      </c>
      <c r="D9" s="9">
        <f>O54</f>
        <v>0</v>
      </c>
      <c r="E9" s="9">
        <f>L66</f>
        <v>0</v>
      </c>
      <c r="F9" s="9">
        <f>O78</f>
        <v>0</v>
      </c>
      <c r="H9" s="8" t="s">
        <v>11</v>
      </c>
      <c r="I9" s="53">
        <f>IF(Renda!B20&gt;0,B9/Renda!B20,0)</f>
        <v>0</v>
      </c>
      <c r="J9" s="53">
        <f>IF(Renda!C20&gt;0,C9/Renda!C20,0)</f>
        <v>0</v>
      </c>
      <c r="K9" s="53">
        <f>IF(Renda!D20&gt;0,D9/Renda!D20,0)</f>
        <v>0</v>
      </c>
      <c r="L9" s="53">
        <f>IF(Renda!E20&gt;0,E9/Renda!E20,0)</f>
        <v>0</v>
      </c>
      <c r="M9" s="53">
        <f>IF(Renda!F20&gt;0,F9/Renda!F20,0)</f>
        <v>0</v>
      </c>
    </row>
    <row r="10" spans="1:13">
      <c r="A10" s="8" t="s">
        <v>12</v>
      </c>
      <c r="B10" s="9">
        <f t="shared" si="0"/>
        <v>0</v>
      </c>
      <c r="C10" s="9">
        <f t="shared" ref="C10:C14" si="1">M43</f>
        <v>0</v>
      </c>
      <c r="D10" s="9">
        <f t="shared" ref="D10:D14" si="2">O55</f>
        <v>0</v>
      </c>
      <c r="E10" s="9">
        <f t="shared" ref="E10:E14" si="3">L67</f>
        <v>0</v>
      </c>
      <c r="F10" s="9">
        <f t="shared" ref="F10:F14" si="4">O79</f>
        <v>0</v>
      </c>
      <c r="H10" s="8" t="s">
        <v>12</v>
      </c>
      <c r="I10" s="53">
        <f>IF(Renda!B21&gt;0,B10/Renda!B21,0)</f>
        <v>0</v>
      </c>
      <c r="J10" s="53">
        <f>IF(Renda!C21&gt;0,C10/Renda!C21,0)</f>
        <v>0</v>
      </c>
      <c r="K10" s="53">
        <f>IF(Renda!D21&gt;0,D10/Renda!D21,0)</f>
        <v>0</v>
      </c>
      <c r="L10" s="53">
        <f>IF(Renda!E21&gt;0,E10/Renda!E21,0)</f>
        <v>0</v>
      </c>
      <c r="M10" s="53">
        <f>IF(Renda!F21&gt;0,F10/Renda!F21,0)</f>
        <v>0</v>
      </c>
    </row>
    <row r="11" spans="1:13">
      <c r="A11" s="8" t="s">
        <v>13</v>
      </c>
      <c r="B11" s="9">
        <f t="shared" si="0"/>
        <v>0</v>
      </c>
      <c r="C11" s="9">
        <f t="shared" si="1"/>
        <v>0</v>
      </c>
      <c r="D11" s="9">
        <f t="shared" si="2"/>
        <v>0</v>
      </c>
      <c r="E11" s="9">
        <f t="shared" si="3"/>
        <v>0</v>
      </c>
      <c r="F11" s="9">
        <f t="shared" si="4"/>
        <v>0</v>
      </c>
      <c r="H11" s="8" t="s">
        <v>13</v>
      </c>
      <c r="I11" s="53">
        <f>IF(Renda!B22&gt;0,B11/Renda!B22,0)</f>
        <v>0</v>
      </c>
      <c r="J11" s="53">
        <f>IF(Renda!C22&gt;0,C11/Renda!C22,0)</f>
        <v>0</v>
      </c>
      <c r="K11" s="53">
        <f>IF(Renda!D22&gt;0,D11/Renda!D22,0)</f>
        <v>0</v>
      </c>
      <c r="L11" s="53">
        <f>IF(Renda!E22&gt;0,E11/Renda!E22,0)</f>
        <v>0</v>
      </c>
      <c r="M11" s="53">
        <f>IF(Renda!F22&gt;0,F11/Renda!F22,0)</f>
        <v>0</v>
      </c>
    </row>
    <row r="12" spans="1:13">
      <c r="A12" s="8" t="s">
        <v>14</v>
      </c>
      <c r="B12" s="9">
        <f t="shared" si="0"/>
        <v>5532899.8411926273</v>
      </c>
      <c r="C12" s="9">
        <f t="shared" si="1"/>
        <v>0</v>
      </c>
      <c r="D12" s="9">
        <f t="shared" si="2"/>
        <v>1248177.2455386498</v>
      </c>
      <c r="E12" s="9">
        <f t="shared" si="3"/>
        <v>0</v>
      </c>
      <c r="F12" s="9">
        <f t="shared" si="4"/>
        <v>6072235.2162524126</v>
      </c>
      <c r="H12" s="8" t="s">
        <v>14</v>
      </c>
      <c r="I12" s="53">
        <f>IF(Renda!B23&gt;0,B12/Renda!B23,0)</f>
        <v>6.5090105652070449E-2</v>
      </c>
      <c r="J12" s="53">
        <f>IF(Renda!C23&gt;0,C12/Renda!C23,0)</f>
        <v>0</v>
      </c>
      <c r="K12" s="53">
        <f>IF(Renda!D23&gt;0,D12/Renda!D23,0)</f>
        <v>2.0363949731751991E-4</v>
      </c>
      <c r="L12" s="53">
        <f>IF(Renda!E23&gt;0,E12/Renda!E23,0)</f>
        <v>0</v>
      </c>
      <c r="M12" s="53">
        <f>IF(Renda!F23&gt;0,F12/Renda!F23,0)</f>
        <v>2.0982415101789948E-3</v>
      </c>
    </row>
    <row r="13" spans="1:13">
      <c r="A13" s="8" t="s">
        <v>15</v>
      </c>
      <c r="B13" s="9">
        <f t="shared" si="0"/>
        <v>0</v>
      </c>
      <c r="C13" s="9">
        <f t="shared" si="1"/>
        <v>0</v>
      </c>
      <c r="D13" s="9">
        <f t="shared" si="2"/>
        <v>0</v>
      </c>
      <c r="E13" s="9">
        <f t="shared" si="3"/>
        <v>0</v>
      </c>
      <c r="F13" s="9">
        <f t="shared" si="4"/>
        <v>0</v>
      </c>
      <c r="H13" s="8" t="s">
        <v>15</v>
      </c>
      <c r="I13" s="53">
        <f>IF(Renda!B24&gt;0,B13/Renda!B24,0)</f>
        <v>0</v>
      </c>
      <c r="J13" s="53">
        <f>IF(Renda!C24&gt;0,C13/Renda!C24,0)</f>
        <v>0</v>
      </c>
      <c r="K13" s="53">
        <f>IF(Renda!D24&gt;0,D13/Renda!D24,0)</f>
        <v>0</v>
      </c>
      <c r="L13" s="53">
        <f>IF(Renda!E24&gt;0,E13/Renda!E24,0)</f>
        <v>0</v>
      </c>
      <c r="M13" s="53">
        <f>IF(Renda!F24&gt;0,F13/Renda!F24,0)</f>
        <v>0</v>
      </c>
    </row>
    <row r="14" spans="1:13">
      <c r="A14" s="8" t="s">
        <v>16</v>
      </c>
      <c r="B14" s="9">
        <f t="shared" si="0"/>
        <v>2352.8620799999999</v>
      </c>
      <c r="C14" s="9">
        <f t="shared" si="1"/>
        <v>0</v>
      </c>
      <c r="D14" s="9">
        <f t="shared" si="2"/>
        <v>3317.0836799999993</v>
      </c>
      <c r="E14" s="9">
        <f t="shared" si="3"/>
        <v>0</v>
      </c>
      <c r="F14" s="9">
        <f t="shared" si="4"/>
        <v>0</v>
      </c>
      <c r="H14" s="8" t="s">
        <v>16</v>
      </c>
      <c r="I14" s="53">
        <f>IF(Renda!B25&gt;0,B14/Renda!B25,0)</f>
        <v>4.7730633477291604E-5</v>
      </c>
      <c r="J14" s="53">
        <f>IF(Renda!C25&gt;0,C14/Renda!C25,0)</f>
        <v>0</v>
      </c>
      <c r="K14" s="53">
        <f>IF(Renda!D25&gt;0,D14/Renda!D25,0)</f>
        <v>7.0356415585254927E-7</v>
      </c>
      <c r="L14" s="53">
        <f>IF(Renda!E25&gt;0,E14/Renda!E25,0)</f>
        <v>0</v>
      </c>
      <c r="M14" s="53">
        <f>IF(Renda!F25&gt;0,F14/Renda!F25,0)</f>
        <v>0</v>
      </c>
    </row>
    <row r="15" spans="1:13" ht="12.75" thickBot="1">
      <c r="A15" s="36" t="s">
        <v>17</v>
      </c>
      <c r="B15" s="37">
        <f>SUM(B9:B14)</f>
        <v>5535252.7032726277</v>
      </c>
      <c r="C15" s="37">
        <f t="shared" ref="C15:E15" si="5">SUM(C9:C14)</f>
        <v>0</v>
      </c>
      <c r="D15" s="37">
        <f t="shared" si="5"/>
        <v>1251494.3292186498</v>
      </c>
      <c r="E15" s="37">
        <f t="shared" si="5"/>
        <v>0</v>
      </c>
      <c r="F15" s="37">
        <f>SUM(F9:F14)</f>
        <v>6072235.2162524126</v>
      </c>
      <c r="H15" s="36" t="s">
        <v>17</v>
      </c>
      <c r="I15" s="54">
        <f>IF(B15&gt;0,B15/Renda!B26,0)</f>
        <v>3.6165159233577042E-2</v>
      </c>
      <c r="J15" s="54">
        <f>IF(C15&gt;0,C15/Renda!C26,0)</f>
        <v>0</v>
      </c>
      <c r="K15" s="54">
        <f>IF(D15&gt;0,D15/Renda!D26,0)</f>
        <v>9.3485948313853134E-5</v>
      </c>
      <c r="L15" s="54">
        <f>IF(E15&gt;0,E15/Renda!E26,0)</f>
        <v>0</v>
      </c>
      <c r="M15" s="54">
        <f>IF(F15&gt;0,F15/Renda!F26,0)</f>
        <v>2.0982415101789948E-3</v>
      </c>
    </row>
    <row r="16" spans="1:13">
      <c r="A16" s="43"/>
      <c r="B16" s="73"/>
      <c r="C16" s="73"/>
      <c r="D16" s="73"/>
      <c r="E16" s="73"/>
      <c r="F16" s="73"/>
      <c r="H16" s="43"/>
      <c r="I16" s="74"/>
      <c r="J16" s="74"/>
      <c r="K16" s="74"/>
      <c r="L16" s="74"/>
      <c r="M16" s="74"/>
    </row>
    <row r="17" spans="1:17">
      <c r="A17" s="43"/>
      <c r="B17" s="73"/>
      <c r="C17" s="73"/>
      <c r="D17" s="73"/>
      <c r="E17" s="73"/>
      <c r="F17" s="73"/>
      <c r="H17" s="43"/>
      <c r="I17" s="74"/>
      <c r="J17" s="74"/>
      <c r="K17" s="74"/>
      <c r="L17" s="74"/>
      <c r="M17" s="74"/>
    </row>
    <row r="18" spans="1:17">
      <c r="A18" s="43" t="s">
        <v>49</v>
      </c>
      <c r="B18" s="73"/>
      <c r="C18" s="73"/>
      <c r="D18" s="73"/>
      <c r="E18" s="73"/>
      <c r="F18" s="73"/>
      <c r="H18" s="43"/>
      <c r="I18" s="74"/>
      <c r="J18" s="74"/>
      <c r="K18" s="74"/>
      <c r="L18" s="74"/>
      <c r="M18" s="74"/>
    </row>
    <row r="19" spans="1:17">
      <c r="A19" s="43"/>
      <c r="B19" s="73"/>
      <c r="C19" s="73"/>
      <c r="D19" s="73"/>
      <c r="E19" s="73"/>
      <c r="F19" s="73"/>
      <c r="H19" s="43"/>
      <c r="I19" s="74"/>
      <c r="J19" s="74"/>
      <c r="K19" s="74"/>
      <c r="L19" s="74"/>
      <c r="M19" s="74"/>
    </row>
    <row r="20" spans="1:17">
      <c r="A20" s="43"/>
      <c r="B20" s="73"/>
      <c r="C20" s="73"/>
      <c r="D20" s="73"/>
      <c r="E20" s="73"/>
      <c r="F20" s="73"/>
      <c r="H20" s="43"/>
      <c r="I20" s="74"/>
      <c r="J20" s="74"/>
      <c r="K20" s="74"/>
      <c r="L20" s="74"/>
      <c r="M20" s="74"/>
    </row>
    <row r="24" spans="1:17" ht="12.75" thickBot="1">
      <c r="A24" s="46"/>
      <c r="B24" s="10"/>
      <c r="C24" s="10"/>
      <c r="D24" s="10"/>
      <c r="E24" s="10"/>
      <c r="F24" s="10"/>
      <c r="G24" s="10"/>
      <c r="H24" s="10"/>
      <c r="I24" s="41"/>
      <c r="J24" s="41"/>
      <c r="K24" s="10"/>
      <c r="L24" s="10"/>
      <c r="M24" s="10"/>
      <c r="N24" s="10"/>
      <c r="O24" s="10"/>
      <c r="P24" s="10"/>
      <c r="Q24" s="10"/>
    </row>
    <row r="25" spans="1:17" ht="15.75" customHeight="1" thickBot="1">
      <c r="A25" s="157" t="s">
        <v>42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</row>
    <row r="26" spans="1:17" ht="36.75" customHeight="1" thickBot="1">
      <c r="A26" s="158" t="s">
        <v>36</v>
      </c>
      <c r="B26" s="160" t="s">
        <v>37</v>
      </c>
      <c r="C26" s="160"/>
      <c r="D26" s="160"/>
      <c r="E26" s="160"/>
      <c r="F26" s="160"/>
      <c r="G26" s="161" t="s">
        <v>86</v>
      </c>
      <c r="H26" s="161"/>
      <c r="I26" s="161"/>
      <c r="J26" s="161"/>
      <c r="K26" s="162" t="s">
        <v>88</v>
      </c>
      <c r="L26" s="162"/>
      <c r="M26" s="83" t="s">
        <v>91</v>
      </c>
      <c r="N26" s="163" t="s">
        <v>82</v>
      </c>
      <c r="O26" s="163"/>
      <c r="P26" s="163"/>
      <c r="Q26" s="163"/>
    </row>
    <row r="27" spans="1:17" ht="24.75" thickBot="1">
      <c r="A27" s="159"/>
      <c r="B27" s="44" t="s">
        <v>38</v>
      </c>
      <c r="C27" s="44" t="s">
        <v>87</v>
      </c>
      <c r="D27" s="44" t="s">
        <v>89</v>
      </c>
      <c r="E27" s="44" t="s">
        <v>90</v>
      </c>
      <c r="F27" s="44" t="s">
        <v>97</v>
      </c>
      <c r="G27" s="80" t="s">
        <v>99</v>
      </c>
      <c r="H27" s="80" t="s">
        <v>94</v>
      </c>
      <c r="I27" s="80" t="s">
        <v>95</v>
      </c>
      <c r="J27" s="80" t="s">
        <v>98</v>
      </c>
      <c r="K27" s="91" t="s">
        <v>96</v>
      </c>
      <c r="L27" s="91" t="s">
        <v>98</v>
      </c>
      <c r="M27" s="84" t="s">
        <v>92</v>
      </c>
      <c r="N27" s="88" t="s">
        <v>83</v>
      </c>
      <c r="O27" s="88" t="s">
        <v>84</v>
      </c>
      <c r="P27" s="88" t="s">
        <v>85</v>
      </c>
      <c r="Q27" s="88" t="s">
        <v>93</v>
      </c>
    </row>
    <row r="28" spans="1:17">
      <c r="A28" s="8" t="s">
        <v>11</v>
      </c>
      <c r="B28" s="50">
        <f>IF(B$3='Base Cenários'!A$3,'Base Cenários'!B7,(IF(B$3='Base Cenários'!A$14,'Base Cenários'!B18,'Base Cenários'!B29)))</f>
        <v>0</v>
      </c>
      <c r="C28" s="45">
        <f>B28*24*60*60*365</f>
        <v>0</v>
      </c>
      <c r="D28" s="76">
        <v>1</v>
      </c>
      <c r="E28" s="78">
        <v>1</v>
      </c>
      <c r="F28" s="92">
        <f>C$4</f>
        <v>8.405E-2</v>
      </c>
      <c r="G28" s="81">
        <v>0.5</v>
      </c>
      <c r="H28" s="81">
        <f t="shared" ref="H28:H33" si="6">C28</f>
        <v>0</v>
      </c>
      <c r="I28" s="81">
        <v>0</v>
      </c>
      <c r="J28" s="95">
        <f>C$4</f>
        <v>8.405E-2</v>
      </c>
      <c r="K28" s="47">
        <f>IF(B$3='Base Cenários'!A$3,'Base Cenários'!I7,(IF(B$3='Base Cenários'!A$14,'Base Cenários'!I18,'Base Cenários'!I29)))</f>
        <v>0</v>
      </c>
      <c r="L28" s="47">
        <f>C$4</f>
        <v>8.405E-2</v>
      </c>
      <c r="M28" s="85">
        <v>1</v>
      </c>
      <c r="N28" s="89">
        <f>C28*D28*E28*F28</f>
        <v>0</v>
      </c>
      <c r="O28" s="89">
        <f>IF(H28&gt;0,(H28-I28)*J28*(C28/H28)*G28,0)</f>
        <v>0</v>
      </c>
      <c r="P28" s="89">
        <f>K28*L28</f>
        <v>0</v>
      </c>
      <c r="Q28" s="89">
        <f>(N28+O28+P28)*M28</f>
        <v>0</v>
      </c>
    </row>
    <row r="29" spans="1:17">
      <c r="A29" s="8" t="s">
        <v>12</v>
      </c>
      <c r="B29" s="50">
        <f>IF(B$3='Base Cenários'!A$3,'Base Cenários'!B8,(IF(B$3='Base Cenários'!A$14,'Base Cenários'!B19,'Base Cenários'!B30)))</f>
        <v>0</v>
      </c>
      <c r="C29" s="45">
        <f t="shared" ref="C29:C33" si="7">B29*24*60*60*365</f>
        <v>0</v>
      </c>
      <c r="D29" s="76">
        <v>1</v>
      </c>
      <c r="E29" s="78">
        <v>1</v>
      </c>
      <c r="F29" s="92">
        <f t="shared" ref="F29:F33" si="8">C$4</f>
        <v>8.405E-2</v>
      </c>
      <c r="G29" s="81">
        <v>0.5</v>
      </c>
      <c r="H29" s="81">
        <f t="shared" si="6"/>
        <v>0</v>
      </c>
      <c r="I29" s="81">
        <v>0</v>
      </c>
      <c r="J29" s="95">
        <f t="shared" ref="J29:J33" si="9">C$4</f>
        <v>8.405E-2</v>
      </c>
      <c r="K29" s="47">
        <f>IF(B$3='Base Cenários'!A$3,'Base Cenários'!I8,(IF(B$3='Base Cenários'!A$14,'Base Cenários'!I19,'Base Cenários'!I30)))</f>
        <v>0</v>
      </c>
      <c r="L29" s="47">
        <f t="shared" ref="L29:L33" si="10">C$4</f>
        <v>8.405E-2</v>
      </c>
      <c r="M29" s="85">
        <v>1</v>
      </c>
      <c r="N29" s="89">
        <f>C29*D29*E29*F29</f>
        <v>0</v>
      </c>
      <c r="O29" s="89">
        <f t="shared" ref="O29:O33" si="11">IF(H29&gt;0,(H29-I29)*J29*(C29/H29)*G29,0)</f>
        <v>0</v>
      </c>
      <c r="P29" s="89">
        <f t="shared" ref="P29:P33" si="12">K29*L29</f>
        <v>0</v>
      </c>
      <c r="Q29" s="89">
        <f t="shared" ref="Q29:Q33" si="13">(N29+O29+P29)*M29</f>
        <v>0</v>
      </c>
    </row>
    <row r="30" spans="1:17">
      <c r="A30" s="8" t="s">
        <v>13</v>
      </c>
      <c r="B30" s="50">
        <f>IF(B$3='Base Cenários'!A$3,'Base Cenários'!B9,(IF(B$3='Base Cenários'!A$14,'Base Cenários'!B20,'Base Cenários'!B31)))</f>
        <v>0</v>
      </c>
      <c r="C30" s="45">
        <f t="shared" si="7"/>
        <v>0</v>
      </c>
      <c r="D30" s="76">
        <v>1</v>
      </c>
      <c r="E30" s="78">
        <v>0.85</v>
      </c>
      <c r="F30" s="92">
        <f t="shared" si="8"/>
        <v>8.405E-2</v>
      </c>
      <c r="G30" s="81">
        <v>0.5</v>
      </c>
      <c r="H30" s="81">
        <f t="shared" si="6"/>
        <v>0</v>
      </c>
      <c r="I30" s="81">
        <v>0</v>
      </c>
      <c r="J30" s="95">
        <f t="shared" si="9"/>
        <v>8.405E-2</v>
      </c>
      <c r="K30" s="47">
        <f>IF(B$3='Base Cenários'!A$3,'Base Cenários'!I9,(IF(B$3='Base Cenários'!A$14,'Base Cenários'!I20,'Base Cenários'!I31)))</f>
        <v>0</v>
      </c>
      <c r="L30" s="47">
        <f t="shared" si="10"/>
        <v>8.405E-2</v>
      </c>
      <c r="M30" s="85">
        <v>1</v>
      </c>
      <c r="N30" s="89">
        <f t="shared" ref="N30:N33" si="14">C30*D30*E30*F30</f>
        <v>0</v>
      </c>
      <c r="O30" s="89">
        <f t="shared" si="11"/>
        <v>0</v>
      </c>
      <c r="P30" s="89">
        <f t="shared" si="12"/>
        <v>0</v>
      </c>
      <c r="Q30" s="89">
        <f t="shared" si="13"/>
        <v>0</v>
      </c>
    </row>
    <row r="31" spans="1:17">
      <c r="A31" s="8" t="s">
        <v>14</v>
      </c>
      <c r="B31" s="50">
        <f>IF(B$3='Base Cenários'!A$3,'Base Cenários'!B10,(IF(B$3='Base Cenários'!A$14,'Base Cenários'!B21,'Base Cenários'!B32)))</f>
        <v>1.4279999999999999</v>
      </c>
      <c r="C31" s="45">
        <f t="shared" si="7"/>
        <v>45033407.999999993</v>
      </c>
      <c r="D31" s="76">
        <v>1</v>
      </c>
      <c r="E31" s="78">
        <v>0.95</v>
      </c>
      <c r="F31" s="92">
        <f t="shared" si="8"/>
        <v>8.405E-2</v>
      </c>
      <c r="G31" s="81">
        <v>0.5</v>
      </c>
      <c r="H31" s="81">
        <f t="shared" si="6"/>
        <v>45033407.999999993</v>
      </c>
      <c r="I31" s="81">
        <v>0</v>
      </c>
      <c r="J31" s="95">
        <f t="shared" si="9"/>
        <v>8.405E-2</v>
      </c>
      <c r="K31" s="47">
        <f>IF(B$3='Base Cenários'!A$3,'Base Cenários'!I10,(IF(B$3='Base Cenários'!A$14,'Base Cenários'!I21,'Base Cenários'!I32)))</f>
        <v>530229.9192460269</v>
      </c>
      <c r="L31" s="47">
        <f t="shared" si="10"/>
        <v>8.405E-2</v>
      </c>
      <c r="M31" s="85">
        <v>1</v>
      </c>
      <c r="N31" s="89">
        <f t="shared" si="14"/>
        <v>3595805.0452799993</v>
      </c>
      <c r="O31" s="89">
        <f t="shared" si="11"/>
        <v>1892528.9711999998</v>
      </c>
      <c r="P31" s="89">
        <f t="shared" si="12"/>
        <v>44565.824712628564</v>
      </c>
      <c r="Q31" s="89">
        <f t="shared" si="13"/>
        <v>5532899.8411926273</v>
      </c>
    </row>
    <row r="32" spans="1:17">
      <c r="A32" s="8" t="s">
        <v>15</v>
      </c>
      <c r="B32" s="50">
        <f>IF(B$3='Base Cenários'!A$3,'Base Cenários'!B11,(IF(B$3='Base Cenários'!A$14,'Base Cenários'!B22,'Base Cenários'!B33)))</f>
        <v>0</v>
      </c>
      <c r="C32" s="45">
        <f t="shared" si="7"/>
        <v>0</v>
      </c>
      <c r="D32" s="76">
        <v>1</v>
      </c>
      <c r="E32" s="78">
        <v>0.9</v>
      </c>
      <c r="F32" s="92">
        <f t="shared" si="8"/>
        <v>8.405E-2</v>
      </c>
      <c r="G32" s="81">
        <v>0.5</v>
      </c>
      <c r="H32" s="81">
        <f t="shared" si="6"/>
        <v>0</v>
      </c>
      <c r="I32" s="81">
        <v>0</v>
      </c>
      <c r="J32" s="95">
        <f t="shared" si="9"/>
        <v>8.405E-2</v>
      </c>
      <c r="K32" s="47">
        <f>IF(B$3='Base Cenários'!A$3,'Base Cenários'!I11,(IF(B$3='Base Cenários'!A$14,'Base Cenários'!I22,'Base Cenários'!I33)))</f>
        <v>0</v>
      </c>
      <c r="L32" s="47">
        <f t="shared" si="10"/>
        <v>8.405E-2</v>
      </c>
      <c r="M32" s="85">
        <v>1</v>
      </c>
      <c r="N32" s="89">
        <f t="shared" si="14"/>
        <v>0</v>
      </c>
      <c r="O32" s="89">
        <f t="shared" si="11"/>
        <v>0</v>
      </c>
      <c r="P32" s="89">
        <f t="shared" si="12"/>
        <v>0</v>
      </c>
      <c r="Q32" s="89">
        <f t="shared" si="13"/>
        <v>0</v>
      </c>
    </row>
    <row r="33" spans="1:17" ht="12.75" thickBot="1">
      <c r="A33" s="10" t="s">
        <v>16</v>
      </c>
      <c r="B33" s="51">
        <f>IF(B$3='Base Cenários'!A$3,'Base Cenários'!B12,(IF(B$3='Base Cenários'!A$14,'Base Cenários'!B23,'Base Cenários'!B34)))</f>
        <v>0</v>
      </c>
      <c r="C33" s="51">
        <f t="shared" si="7"/>
        <v>0</v>
      </c>
      <c r="D33" s="77">
        <v>1</v>
      </c>
      <c r="E33" s="79">
        <v>1</v>
      </c>
      <c r="F33" s="93">
        <f t="shared" si="8"/>
        <v>8.405E-2</v>
      </c>
      <c r="G33" s="82">
        <v>0.5</v>
      </c>
      <c r="H33" s="82">
        <f t="shared" si="6"/>
        <v>0</v>
      </c>
      <c r="I33" s="82">
        <v>0</v>
      </c>
      <c r="J33" s="96">
        <f t="shared" si="9"/>
        <v>8.405E-2</v>
      </c>
      <c r="K33" s="48">
        <f>IF(B$3='Base Cenários'!A$3,'Base Cenários'!I12,(IF(B$3='Base Cenários'!A$14,'Base Cenários'!I23,'Base Cenários'!I34)))</f>
        <v>27993.599999999999</v>
      </c>
      <c r="L33" s="48">
        <f t="shared" si="10"/>
        <v>8.405E-2</v>
      </c>
      <c r="M33" s="86">
        <v>1</v>
      </c>
      <c r="N33" s="90">
        <f t="shared" si="14"/>
        <v>0</v>
      </c>
      <c r="O33" s="90">
        <f t="shared" si="11"/>
        <v>0</v>
      </c>
      <c r="P33" s="90">
        <f t="shared" si="12"/>
        <v>2352.8620799999999</v>
      </c>
      <c r="Q33" s="90">
        <f t="shared" si="13"/>
        <v>2352.8620799999999</v>
      </c>
    </row>
    <row r="34" spans="1:17" ht="12.75" thickBot="1">
      <c r="I34" s="8"/>
      <c r="M34" s="42"/>
      <c r="P34" s="46" t="s">
        <v>40</v>
      </c>
      <c r="Q34" s="94">
        <f>SUM(Q28:Q33)</f>
        <v>5535252.7032726277</v>
      </c>
    </row>
    <row r="35" spans="1:17">
      <c r="I35" s="8"/>
      <c r="M35" s="42"/>
      <c r="P35" s="43"/>
      <c r="Q35" s="73"/>
    </row>
    <row r="36" spans="1:17">
      <c r="I36" s="8"/>
      <c r="M36" s="42"/>
      <c r="P36" s="43"/>
      <c r="Q36" s="73"/>
    </row>
    <row r="37" spans="1:17">
      <c r="I37" s="8"/>
      <c r="M37" s="42"/>
      <c r="P37" s="43"/>
      <c r="Q37" s="73"/>
    </row>
    <row r="38" spans="1:17" ht="12.75" thickBot="1">
      <c r="A38" s="10"/>
      <c r="B38" s="10"/>
      <c r="C38" s="10"/>
      <c r="D38" s="10"/>
      <c r="E38" s="10"/>
      <c r="F38" s="10"/>
      <c r="G38" s="10"/>
      <c r="H38" s="10"/>
      <c r="I38" s="10"/>
      <c r="J38" s="41"/>
      <c r="K38" s="10"/>
      <c r="L38" s="10"/>
      <c r="M38" s="41"/>
    </row>
    <row r="39" spans="1:17" ht="15.75" customHeight="1" thickBot="1">
      <c r="A39" s="157" t="s">
        <v>43</v>
      </c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</row>
    <row r="40" spans="1:17" ht="15.75" customHeight="1" thickBot="1">
      <c r="A40" s="158" t="s">
        <v>36</v>
      </c>
      <c r="B40" s="160" t="s">
        <v>37</v>
      </c>
      <c r="C40" s="160"/>
      <c r="D40" s="160"/>
      <c r="E40" s="160"/>
      <c r="F40" s="161" t="s">
        <v>86</v>
      </c>
      <c r="G40" s="161"/>
      <c r="H40" s="161"/>
      <c r="I40" s="83" t="s">
        <v>91</v>
      </c>
      <c r="J40" s="97" t="s">
        <v>101</v>
      </c>
      <c r="K40" s="163" t="s">
        <v>82</v>
      </c>
      <c r="L40" s="163"/>
      <c r="M40" s="163"/>
    </row>
    <row r="41" spans="1:17" ht="12.75" thickBot="1">
      <c r="A41" s="159"/>
      <c r="B41" s="44" t="s">
        <v>38</v>
      </c>
      <c r="C41" s="44" t="s">
        <v>87</v>
      </c>
      <c r="D41" s="44" t="s">
        <v>89</v>
      </c>
      <c r="E41" s="44" t="s">
        <v>97</v>
      </c>
      <c r="F41" s="80" t="s">
        <v>94</v>
      </c>
      <c r="G41" s="80" t="s">
        <v>95</v>
      </c>
      <c r="H41" s="80" t="s">
        <v>98</v>
      </c>
      <c r="I41" s="84" t="s">
        <v>92</v>
      </c>
      <c r="J41" s="87" t="s">
        <v>102</v>
      </c>
      <c r="K41" s="88" t="s">
        <v>83</v>
      </c>
      <c r="L41" s="88" t="s">
        <v>84</v>
      </c>
      <c r="M41" s="88" t="s">
        <v>93</v>
      </c>
    </row>
    <row r="42" spans="1:17">
      <c r="A42" s="8" t="s">
        <v>11</v>
      </c>
      <c r="B42" s="50">
        <f>IF(B$3='Base Cenários'!A$3,'Base Cenários'!C7,(IF(B$3='Base Cenários'!A$14,'Base Cenários'!C18,'Base Cenários'!C29)))</f>
        <v>0</v>
      </c>
      <c r="C42" s="45">
        <f>B42*24*60*60*365</f>
        <v>0</v>
      </c>
      <c r="D42" s="76">
        <v>1</v>
      </c>
      <c r="E42" s="92">
        <f>C$4</f>
        <v>8.405E-2</v>
      </c>
      <c r="F42" s="81">
        <f t="shared" ref="F42:F47" si="15">C42</f>
        <v>0</v>
      </c>
      <c r="G42" s="81">
        <v>0</v>
      </c>
      <c r="H42" s="95">
        <f>C$4</f>
        <v>8.405E-2</v>
      </c>
      <c r="I42" s="85">
        <v>1</v>
      </c>
      <c r="J42" s="98">
        <v>0.1</v>
      </c>
      <c r="K42" s="89">
        <f t="shared" ref="K42:K47" si="16">C42*D42*E42</f>
        <v>0</v>
      </c>
      <c r="L42" s="89">
        <f t="shared" ref="L42:L47" si="17">IF(F42&gt;0,(F42-G42)*H42*(C42/F42),0)</f>
        <v>0</v>
      </c>
      <c r="M42" s="89">
        <f>(K42+L42)*I42*J42</f>
        <v>0</v>
      </c>
    </row>
    <row r="43" spans="1:17">
      <c r="A43" s="8" t="s">
        <v>12</v>
      </c>
      <c r="B43" s="50">
        <f>IF(B$3='Base Cenários'!A$3,'Base Cenários'!C8,(IF(B$3='Base Cenários'!A$14,'Base Cenários'!C19,'Base Cenários'!C30)))</f>
        <v>0</v>
      </c>
      <c r="C43" s="45">
        <f t="shared" ref="C43:C47" si="18">B43*24*60*60*365</f>
        <v>0</v>
      </c>
      <c r="D43" s="76">
        <v>1</v>
      </c>
      <c r="E43" s="92">
        <f t="shared" ref="E43:E47" si="19">C$4</f>
        <v>8.405E-2</v>
      </c>
      <c r="F43" s="81">
        <f t="shared" si="15"/>
        <v>0</v>
      </c>
      <c r="G43" s="81">
        <v>0</v>
      </c>
      <c r="H43" s="95">
        <f t="shared" ref="H43:H47" si="20">C$4</f>
        <v>8.405E-2</v>
      </c>
      <c r="I43" s="85">
        <v>1</v>
      </c>
      <c r="J43" s="98">
        <v>0.1</v>
      </c>
      <c r="K43" s="89">
        <f t="shared" si="16"/>
        <v>0</v>
      </c>
      <c r="L43" s="89">
        <f t="shared" si="17"/>
        <v>0</v>
      </c>
      <c r="M43" s="89">
        <f t="shared" ref="M43:M47" si="21">(K43+L43)*I43*J43</f>
        <v>0</v>
      </c>
    </row>
    <row r="44" spans="1:17">
      <c r="A44" s="8" t="s">
        <v>13</v>
      </c>
      <c r="B44" s="50">
        <f>IF(B$3='Base Cenários'!A$3,'Base Cenários'!C9,(IF(B$3='Base Cenários'!A$14,'Base Cenários'!C20,'Base Cenários'!C31)))</f>
        <v>0</v>
      </c>
      <c r="C44" s="45">
        <f t="shared" si="18"/>
        <v>0</v>
      </c>
      <c r="D44" s="76">
        <v>1</v>
      </c>
      <c r="E44" s="92">
        <f t="shared" si="19"/>
        <v>8.405E-2</v>
      </c>
      <c r="F44" s="81">
        <f t="shared" si="15"/>
        <v>0</v>
      </c>
      <c r="G44" s="81">
        <v>0</v>
      </c>
      <c r="H44" s="95">
        <f t="shared" si="20"/>
        <v>8.405E-2</v>
      </c>
      <c r="I44" s="85">
        <v>1</v>
      </c>
      <c r="J44" s="98">
        <v>0.1</v>
      </c>
      <c r="K44" s="89">
        <f t="shared" si="16"/>
        <v>0</v>
      </c>
      <c r="L44" s="89">
        <f t="shared" si="17"/>
        <v>0</v>
      </c>
      <c r="M44" s="89">
        <f t="shared" si="21"/>
        <v>0</v>
      </c>
    </row>
    <row r="45" spans="1:17">
      <c r="A45" s="8" t="s">
        <v>14</v>
      </c>
      <c r="B45" s="50">
        <f>IF(B$3='Base Cenários'!A$3,'Base Cenários'!C10,(IF(B$3='Base Cenários'!A$14,'Base Cenários'!C21,'Base Cenários'!C32)))</f>
        <v>0</v>
      </c>
      <c r="C45" s="45">
        <f t="shared" si="18"/>
        <v>0</v>
      </c>
      <c r="D45" s="76">
        <v>1</v>
      </c>
      <c r="E45" s="92">
        <f t="shared" si="19"/>
        <v>8.405E-2</v>
      </c>
      <c r="F45" s="81">
        <f t="shared" si="15"/>
        <v>0</v>
      </c>
      <c r="G45" s="81">
        <v>0</v>
      </c>
      <c r="H45" s="95">
        <f t="shared" si="20"/>
        <v>8.405E-2</v>
      </c>
      <c r="I45" s="85">
        <v>1</v>
      </c>
      <c r="J45" s="98">
        <v>0.1</v>
      </c>
      <c r="K45" s="89">
        <f t="shared" si="16"/>
        <v>0</v>
      </c>
      <c r="L45" s="89">
        <f t="shared" si="17"/>
        <v>0</v>
      </c>
      <c r="M45" s="89">
        <f t="shared" si="21"/>
        <v>0</v>
      </c>
    </row>
    <row r="46" spans="1:17">
      <c r="A46" s="8" t="s">
        <v>15</v>
      </c>
      <c r="B46" s="50">
        <f>IF(B$3='Base Cenários'!A$3,'Base Cenários'!C11,(IF(B$3='Base Cenários'!A$14,'Base Cenários'!C22,'Base Cenários'!C33)))</f>
        <v>0</v>
      </c>
      <c r="C46" s="45">
        <f t="shared" si="18"/>
        <v>0</v>
      </c>
      <c r="D46" s="76">
        <v>1</v>
      </c>
      <c r="E46" s="92">
        <f t="shared" si="19"/>
        <v>8.405E-2</v>
      </c>
      <c r="F46" s="81">
        <f t="shared" si="15"/>
        <v>0</v>
      </c>
      <c r="G46" s="81">
        <v>0</v>
      </c>
      <c r="H46" s="95">
        <f t="shared" si="20"/>
        <v>8.405E-2</v>
      </c>
      <c r="I46" s="85">
        <v>1</v>
      </c>
      <c r="J46" s="98">
        <v>0.1</v>
      </c>
      <c r="K46" s="89">
        <f t="shared" si="16"/>
        <v>0</v>
      </c>
      <c r="L46" s="89">
        <f t="shared" si="17"/>
        <v>0</v>
      </c>
      <c r="M46" s="89">
        <f t="shared" si="21"/>
        <v>0</v>
      </c>
    </row>
    <row r="47" spans="1:17" ht="12.75" thickBot="1">
      <c r="A47" s="10" t="s">
        <v>16</v>
      </c>
      <c r="B47" s="51">
        <f>IF(B$3='Base Cenários'!A$3,'Base Cenários'!C12,(IF(B$3='Base Cenários'!A$14,'Base Cenários'!C23,'Base Cenários'!C34)))</f>
        <v>0</v>
      </c>
      <c r="C47" s="51">
        <f t="shared" si="18"/>
        <v>0</v>
      </c>
      <c r="D47" s="77">
        <v>1</v>
      </c>
      <c r="E47" s="93">
        <f t="shared" si="19"/>
        <v>8.405E-2</v>
      </c>
      <c r="F47" s="82">
        <f t="shared" si="15"/>
        <v>0</v>
      </c>
      <c r="G47" s="82">
        <v>0</v>
      </c>
      <c r="H47" s="96">
        <f t="shared" si="20"/>
        <v>8.405E-2</v>
      </c>
      <c r="I47" s="86">
        <v>1</v>
      </c>
      <c r="J47" s="99">
        <v>0.1</v>
      </c>
      <c r="K47" s="90">
        <f t="shared" si="16"/>
        <v>0</v>
      </c>
      <c r="L47" s="90">
        <f t="shared" si="17"/>
        <v>0</v>
      </c>
      <c r="M47" s="90">
        <f t="shared" si="21"/>
        <v>0</v>
      </c>
    </row>
    <row r="48" spans="1:17" ht="12.75" thickBot="1">
      <c r="L48" s="46" t="s">
        <v>40</v>
      </c>
      <c r="M48" s="94">
        <f>SUM(M42:M47)</f>
        <v>0</v>
      </c>
    </row>
    <row r="50" spans="1:15" ht="12.75" thickBot="1">
      <c r="A50" s="10"/>
      <c r="B50" s="10"/>
      <c r="C50" s="10"/>
      <c r="D50" s="10"/>
      <c r="E50" s="10"/>
      <c r="F50" s="10"/>
      <c r="G50" s="10"/>
      <c r="H50" s="10"/>
      <c r="I50" s="41"/>
      <c r="J50" s="41"/>
      <c r="K50" s="10"/>
      <c r="L50" s="10"/>
      <c r="M50" s="10"/>
      <c r="N50" s="10"/>
      <c r="O50" s="10"/>
    </row>
    <row r="51" spans="1:15" ht="15.75" customHeight="1" thickBot="1">
      <c r="A51" s="165" t="s">
        <v>3</v>
      </c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</row>
    <row r="52" spans="1:15" ht="15.75" customHeight="1" thickBot="1">
      <c r="A52" s="158" t="s">
        <v>36</v>
      </c>
      <c r="B52" s="75" t="s">
        <v>37</v>
      </c>
      <c r="C52" s="75"/>
      <c r="D52" s="75"/>
      <c r="E52" s="75"/>
      <c r="F52" s="164" t="s">
        <v>86</v>
      </c>
      <c r="G52" s="164"/>
      <c r="H52" s="164"/>
      <c r="I52" s="162" t="s">
        <v>88</v>
      </c>
      <c r="J52" s="162"/>
      <c r="K52" s="83" t="s">
        <v>91</v>
      </c>
      <c r="L52" s="163" t="s">
        <v>82</v>
      </c>
      <c r="M52" s="163"/>
      <c r="N52" s="163"/>
      <c r="O52" s="163"/>
    </row>
    <row r="53" spans="1:15" ht="12.75" thickBot="1">
      <c r="A53" s="159"/>
      <c r="B53" s="44" t="s">
        <v>38</v>
      </c>
      <c r="C53" s="44" t="s">
        <v>87</v>
      </c>
      <c r="D53" s="44" t="s">
        <v>89</v>
      </c>
      <c r="E53" s="44" t="s">
        <v>97</v>
      </c>
      <c r="F53" s="80" t="s">
        <v>94</v>
      </c>
      <c r="G53" s="80" t="s">
        <v>95</v>
      </c>
      <c r="H53" s="80" t="s">
        <v>98</v>
      </c>
      <c r="I53" s="91" t="s">
        <v>96</v>
      </c>
      <c r="J53" s="91" t="s">
        <v>98</v>
      </c>
      <c r="K53" s="84" t="s">
        <v>92</v>
      </c>
      <c r="L53" s="88" t="s">
        <v>83</v>
      </c>
      <c r="M53" s="88" t="s">
        <v>84</v>
      </c>
      <c r="N53" s="88" t="s">
        <v>85</v>
      </c>
      <c r="O53" s="88" t="s">
        <v>93</v>
      </c>
    </row>
    <row r="54" spans="1:15">
      <c r="A54" s="8" t="s">
        <v>11</v>
      </c>
      <c r="B54" s="50">
        <f>IF(B$3='Base Cenários'!A$3,'Base Cenários'!D7,(IF(B$3='Base Cenários'!A$14,'Base Cenários'!D18,'Base Cenários'!D29)))</f>
        <v>0</v>
      </c>
      <c r="C54" s="45">
        <f>B54*24*60*60*365</f>
        <v>0</v>
      </c>
      <c r="D54" s="76">
        <v>1</v>
      </c>
      <c r="E54" s="92">
        <f>C$4</f>
        <v>8.405E-2</v>
      </c>
      <c r="F54" s="81">
        <f t="shared" ref="F54:F59" si="22">C54</f>
        <v>0</v>
      </c>
      <c r="G54" s="81">
        <v>0</v>
      </c>
      <c r="H54" s="95">
        <f>C$4</f>
        <v>8.405E-2</v>
      </c>
      <c r="I54" s="47">
        <f>IF(B$3='Base Cenários'!A$3,'Base Cenários'!J7,(IF(B$3='Base Cenários'!A$14,'Base Cenários'!J18,'Base Cenários'!J29)))</f>
        <v>0</v>
      </c>
      <c r="J54" s="47">
        <f>C$4</f>
        <v>8.405E-2</v>
      </c>
      <c r="K54" s="85">
        <v>1</v>
      </c>
      <c r="L54" s="89">
        <f>C54*D54*E54</f>
        <v>0</v>
      </c>
      <c r="M54" s="89">
        <f>IF(F54&gt;0,(F54-G54)*H54*(C54/F54),0)</f>
        <v>0</v>
      </c>
      <c r="N54" s="89">
        <f>I54*J54</f>
        <v>0</v>
      </c>
      <c r="O54" s="89">
        <f>(L54+M54+N54)*K54</f>
        <v>0</v>
      </c>
    </row>
    <row r="55" spans="1:15">
      <c r="A55" s="8" t="s">
        <v>12</v>
      </c>
      <c r="B55" s="50">
        <f>IF(B$3='Base Cenários'!A$3,'Base Cenários'!D8,(IF(B$3='Base Cenários'!A$14,'Base Cenários'!D19,'Base Cenários'!D30)))</f>
        <v>0</v>
      </c>
      <c r="C55" s="45">
        <f t="shared" ref="C55:C59" si="23">B55*24*60*60*365</f>
        <v>0</v>
      </c>
      <c r="D55" s="76">
        <v>1</v>
      </c>
      <c r="E55" s="92">
        <f t="shared" ref="E55:E59" si="24">C$4</f>
        <v>8.405E-2</v>
      </c>
      <c r="F55" s="81">
        <f t="shared" si="22"/>
        <v>0</v>
      </c>
      <c r="G55" s="81">
        <v>0</v>
      </c>
      <c r="H55" s="95">
        <f t="shared" ref="H55:H59" si="25">C$4</f>
        <v>8.405E-2</v>
      </c>
      <c r="I55" s="47">
        <f>IF(B$3='Base Cenários'!A$3,'Base Cenários'!J8,(IF(B$3='Base Cenários'!A$14,'Base Cenários'!J19,'Base Cenários'!J30)))</f>
        <v>0</v>
      </c>
      <c r="J55" s="47">
        <f t="shared" ref="J55:J59" si="26">C$4</f>
        <v>8.405E-2</v>
      </c>
      <c r="K55" s="85">
        <v>1</v>
      </c>
      <c r="L55" s="89">
        <f t="shared" ref="L55:L59" si="27">C55*D55*E55</f>
        <v>0</v>
      </c>
      <c r="M55" s="89">
        <f t="shared" ref="M55:M59" si="28">IF(F55&gt;0,(F55-G55)*H55*(C55/F55),0)</f>
        <v>0</v>
      </c>
      <c r="N55" s="89">
        <f t="shared" ref="N55:N59" si="29">I55*J55</f>
        <v>0</v>
      </c>
      <c r="O55" s="89">
        <f t="shared" ref="O55:O59" si="30">(L55+M55+N55)*K55</f>
        <v>0</v>
      </c>
    </row>
    <row r="56" spans="1:15">
      <c r="A56" s="8" t="s">
        <v>13</v>
      </c>
      <c r="B56" s="50">
        <f>IF(B$3='Base Cenários'!A$3,'Base Cenários'!D9,(IF(B$3='Base Cenários'!A$14,'Base Cenários'!D20,'Base Cenários'!D31)))</f>
        <v>0</v>
      </c>
      <c r="C56" s="45">
        <f t="shared" si="23"/>
        <v>0</v>
      </c>
      <c r="D56" s="76">
        <v>1</v>
      </c>
      <c r="E56" s="92">
        <f t="shared" si="24"/>
        <v>8.405E-2</v>
      </c>
      <c r="F56" s="81">
        <f t="shared" si="22"/>
        <v>0</v>
      </c>
      <c r="G56" s="81">
        <v>0</v>
      </c>
      <c r="H56" s="95">
        <f t="shared" si="25"/>
        <v>8.405E-2</v>
      </c>
      <c r="I56" s="47">
        <f>IF(B$3='Base Cenários'!A$3,'Base Cenários'!J9,(IF(B$3='Base Cenários'!A$14,'Base Cenários'!J20,'Base Cenários'!J31)))</f>
        <v>0</v>
      </c>
      <c r="J56" s="47">
        <f t="shared" si="26"/>
        <v>8.405E-2</v>
      </c>
      <c r="K56" s="85">
        <v>1</v>
      </c>
      <c r="L56" s="89">
        <f t="shared" si="27"/>
        <v>0</v>
      </c>
      <c r="M56" s="89">
        <f t="shared" si="28"/>
        <v>0</v>
      </c>
      <c r="N56" s="89">
        <f t="shared" si="29"/>
        <v>0</v>
      </c>
      <c r="O56" s="89">
        <f t="shared" si="30"/>
        <v>0</v>
      </c>
    </row>
    <row r="57" spans="1:15">
      <c r="A57" s="8" t="s">
        <v>14</v>
      </c>
      <c r="B57" s="50">
        <f>IF(B$3='Base Cenários'!A$3,'Base Cenários'!D10,(IF(B$3='Base Cenários'!A$14,'Base Cenários'!D21,'Base Cenários'!D32)))</f>
        <v>0.23543264205986808</v>
      </c>
      <c r="C57" s="45">
        <f t="shared" si="23"/>
        <v>7424603.7999999998</v>
      </c>
      <c r="D57" s="76">
        <v>1</v>
      </c>
      <c r="E57" s="92">
        <f t="shared" si="24"/>
        <v>8.405E-2</v>
      </c>
      <c r="F57" s="81">
        <f t="shared" si="22"/>
        <v>7424603.7999999998</v>
      </c>
      <c r="G57" s="81">
        <v>0</v>
      </c>
      <c r="H57" s="95">
        <f t="shared" si="25"/>
        <v>8.405E-2</v>
      </c>
      <c r="I57" s="47">
        <f>IF(B$3='Base Cenários'!A$3,'Base Cenários'!J10,(IF(B$3='Base Cenários'!A$14,'Base Cenários'!J21,'Base Cenários'!J32)))</f>
        <v>1205.7912986301369</v>
      </c>
      <c r="J57" s="47">
        <f t="shared" si="26"/>
        <v>8.405E-2</v>
      </c>
      <c r="K57" s="85">
        <v>1</v>
      </c>
      <c r="L57" s="89">
        <f t="shared" si="27"/>
        <v>624037.94938999997</v>
      </c>
      <c r="M57" s="89">
        <f t="shared" si="28"/>
        <v>624037.94938999997</v>
      </c>
      <c r="N57" s="89">
        <f t="shared" si="29"/>
        <v>101.34675864986301</v>
      </c>
      <c r="O57" s="89">
        <f t="shared" si="30"/>
        <v>1248177.2455386498</v>
      </c>
    </row>
    <row r="58" spans="1:15">
      <c r="A58" s="8" t="s">
        <v>15</v>
      </c>
      <c r="B58" s="50">
        <f>IF(B$3='Base Cenários'!A$3,'Base Cenários'!D11,(IF(B$3='Base Cenários'!A$14,'Base Cenários'!D22,'Base Cenários'!D33)))</f>
        <v>0</v>
      </c>
      <c r="C58" s="45">
        <f t="shared" si="23"/>
        <v>0</v>
      </c>
      <c r="D58" s="76">
        <v>1</v>
      </c>
      <c r="E58" s="92">
        <f t="shared" si="24"/>
        <v>8.405E-2</v>
      </c>
      <c r="F58" s="81">
        <f t="shared" si="22"/>
        <v>0</v>
      </c>
      <c r="G58" s="81">
        <v>0</v>
      </c>
      <c r="H58" s="95">
        <f t="shared" si="25"/>
        <v>8.405E-2</v>
      </c>
      <c r="I58" s="47">
        <f>IF(B$3='Base Cenários'!A$3,'Base Cenários'!J11,(IF(B$3='Base Cenários'!A$14,'Base Cenários'!J22,'Base Cenários'!J33)))</f>
        <v>0</v>
      </c>
      <c r="J58" s="47">
        <f t="shared" si="26"/>
        <v>8.405E-2</v>
      </c>
      <c r="K58" s="85">
        <v>1</v>
      </c>
      <c r="L58" s="89">
        <f t="shared" si="27"/>
        <v>0</v>
      </c>
      <c r="M58" s="89">
        <f t="shared" si="28"/>
        <v>0</v>
      </c>
      <c r="N58" s="89">
        <f t="shared" si="29"/>
        <v>0</v>
      </c>
      <c r="O58" s="89">
        <f t="shared" si="30"/>
        <v>0</v>
      </c>
    </row>
    <row r="59" spans="1:15" ht="12.75" thickBot="1">
      <c r="A59" s="10" t="s">
        <v>16</v>
      </c>
      <c r="B59" s="51">
        <f>IF(B$3='Base Cenários'!A$3,'Base Cenários'!D12,(IF(B$3='Base Cenários'!A$14,'Base Cenários'!D23,'Base Cenários'!D34)))</f>
        <v>6.2572298325722976E-4</v>
      </c>
      <c r="C59" s="51">
        <f t="shared" si="23"/>
        <v>19732.799999999996</v>
      </c>
      <c r="D59" s="77">
        <v>1</v>
      </c>
      <c r="E59" s="93">
        <f t="shared" si="24"/>
        <v>8.405E-2</v>
      </c>
      <c r="F59" s="82">
        <f t="shared" si="22"/>
        <v>19732.799999999996</v>
      </c>
      <c r="G59" s="82">
        <v>0</v>
      </c>
      <c r="H59" s="96">
        <f t="shared" si="25"/>
        <v>8.405E-2</v>
      </c>
      <c r="I59" s="48">
        <f>IF(B$3='Base Cenários'!A$3,'Base Cenários'!J12,(IF(B$3='Base Cenários'!A$14,'Base Cenários'!J23,'Base Cenários'!J34)))</f>
        <v>0</v>
      </c>
      <c r="J59" s="48">
        <f t="shared" si="26"/>
        <v>8.405E-2</v>
      </c>
      <c r="K59" s="86">
        <v>1</v>
      </c>
      <c r="L59" s="90">
        <f t="shared" si="27"/>
        <v>1658.5418399999996</v>
      </c>
      <c r="M59" s="90">
        <f t="shared" si="28"/>
        <v>1658.5418399999996</v>
      </c>
      <c r="N59" s="90">
        <f t="shared" si="29"/>
        <v>0</v>
      </c>
      <c r="O59" s="90">
        <f t="shared" si="30"/>
        <v>3317.0836799999993</v>
      </c>
    </row>
    <row r="60" spans="1:15" ht="12.75" thickBot="1">
      <c r="N60" s="46" t="s">
        <v>40</v>
      </c>
      <c r="O60" s="94">
        <f>SUM(O54:O59)</f>
        <v>1251494.3292186498</v>
      </c>
    </row>
    <row r="62" spans="1:15" ht="12.75" thickBot="1">
      <c r="A62" s="10"/>
      <c r="B62" s="10"/>
      <c r="C62" s="10"/>
      <c r="D62" s="10"/>
      <c r="E62" s="10"/>
      <c r="F62" s="10"/>
      <c r="G62" s="10"/>
      <c r="H62" s="10"/>
      <c r="I62" s="41"/>
      <c r="J62" s="41"/>
      <c r="K62" s="10"/>
      <c r="L62" s="10"/>
    </row>
    <row r="63" spans="1:15" ht="15.75" customHeight="1" thickBot="1">
      <c r="A63" s="165" t="s">
        <v>4</v>
      </c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</row>
    <row r="64" spans="1:15" ht="15.75" customHeight="1" thickBot="1">
      <c r="A64" s="158" t="s">
        <v>36</v>
      </c>
      <c r="B64" s="160" t="s">
        <v>37</v>
      </c>
      <c r="C64" s="160"/>
      <c r="D64" s="160"/>
      <c r="E64" s="160"/>
      <c r="F64" s="164" t="s">
        <v>86</v>
      </c>
      <c r="G64" s="164"/>
      <c r="H64" s="83" t="s">
        <v>91</v>
      </c>
      <c r="I64" s="97" t="s">
        <v>101</v>
      </c>
      <c r="J64" s="163" t="s">
        <v>82</v>
      </c>
      <c r="K64" s="163"/>
      <c r="L64" s="163"/>
    </row>
    <row r="65" spans="1:15" ht="12.75" thickBot="1">
      <c r="A65" s="159"/>
      <c r="B65" s="44" t="s">
        <v>38</v>
      </c>
      <c r="C65" s="44" t="s">
        <v>87</v>
      </c>
      <c r="D65" s="44" t="s">
        <v>89</v>
      </c>
      <c r="E65" s="44" t="s">
        <v>97</v>
      </c>
      <c r="F65" s="80" t="s">
        <v>99</v>
      </c>
      <c r="G65" s="80" t="s">
        <v>98</v>
      </c>
      <c r="H65" s="84" t="s">
        <v>92</v>
      </c>
      <c r="I65" s="87" t="s">
        <v>102</v>
      </c>
      <c r="J65" s="88" t="s">
        <v>83</v>
      </c>
      <c r="K65" s="88" t="s">
        <v>84</v>
      </c>
      <c r="L65" s="88" t="s">
        <v>93</v>
      </c>
    </row>
    <row r="66" spans="1:15">
      <c r="A66" s="8" t="s">
        <v>11</v>
      </c>
      <c r="B66" s="50">
        <f>IF(B$3='Base Cenários'!A$3,'Base Cenários'!E7,(IF(B$3='Base Cenários'!A$14,'Base Cenários'!E18,'Base Cenários'!E29)))</f>
        <v>0</v>
      </c>
      <c r="C66" s="45">
        <f>B66*24*60*60*365</f>
        <v>0</v>
      </c>
      <c r="D66" s="76">
        <v>1</v>
      </c>
      <c r="E66" s="92">
        <f>C$4</f>
        <v>8.405E-2</v>
      </c>
      <c r="F66" s="81">
        <v>0.75</v>
      </c>
      <c r="G66" s="95">
        <f>C$4</f>
        <v>8.405E-2</v>
      </c>
      <c r="H66" s="85">
        <v>1</v>
      </c>
      <c r="I66" s="98">
        <v>0.5</v>
      </c>
      <c r="J66" s="89">
        <f t="shared" ref="J66:J71" si="31">C66*D66*E66</f>
        <v>0</v>
      </c>
      <c r="K66" s="89">
        <f>C66*F66*G66</f>
        <v>0</v>
      </c>
      <c r="L66" s="89">
        <f>(J66+K66)*H66*I66</f>
        <v>0</v>
      </c>
    </row>
    <row r="67" spans="1:15">
      <c r="A67" s="8" t="s">
        <v>12</v>
      </c>
      <c r="B67" s="50">
        <f>IF(B$3='Base Cenários'!A$3,'Base Cenários'!E8,(IF(B$3='Base Cenários'!A$14,'Base Cenários'!E19,'Base Cenários'!E30)))</f>
        <v>0</v>
      </c>
      <c r="C67" s="45">
        <f t="shared" ref="C67:C71" si="32">B67*24*60*60*365</f>
        <v>0</v>
      </c>
      <c r="D67" s="76">
        <v>1</v>
      </c>
      <c r="E67" s="92">
        <f t="shared" ref="E67:E71" si="33">C$4</f>
        <v>8.405E-2</v>
      </c>
      <c r="F67" s="81">
        <v>0.75</v>
      </c>
      <c r="G67" s="95">
        <f t="shared" ref="G67:G71" si="34">C$4</f>
        <v>8.405E-2</v>
      </c>
      <c r="H67" s="85">
        <v>1</v>
      </c>
      <c r="I67" s="98">
        <v>0.5</v>
      </c>
      <c r="J67" s="89">
        <f t="shared" si="31"/>
        <v>0</v>
      </c>
      <c r="K67" s="89">
        <f t="shared" ref="K67:K71" si="35">C67*F67*G67</f>
        <v>0</v>
      </c>
      <c r="L67" s="89">
        <f t="shared" ref="L67:L71" si="36">(J67+K67)*H67*I67</f>
        <v>0</v>
      </c>
    </row>
    <row r="68" spans="1:15">
      <c r="A68" s="8" t="s">
        <v>13</v>
      </c>
      <c r="B68" s="50">
        <f>IF(B$3='Base Cenários'!A$3,'Base Cenários'!E9,(IF(B$3='Base Cenários'!A$14,'Base Cenários'!E20,'Base Cenários'!E31)))</f>
        <v>0</v>
      </c>
      <c r="C68" s="45">
        <f t="shared" si="32"/>
        <v>0</v>
      </c>
      <c r="D68" s="76">
        <v>1</v>
      </c>
      <c r="E68" s="92">
        <f t="shared" si="33"/>
        <v>8.405E-2</v>
      </c>
      <c r="F68" s="81">
        <v>0.75</v>
      </c>
      <c r="G68" s="95">
        <f t="shared" si="34"/>
        <v>8.405E-2</v>
      </c>
      <c r="H68" s="85">
        <v>1</v>
      </c>
      <c r="I68" s="98">
        <v>0.5</v>
      </c>
      <c r="J68" s="89">
        <f t="shared" si="31"/>
        <v>0</v>
      </c>
      <c r="K68" s="89">
        <f t="shared" si="35"/>
        <v>0</v>
      </c>
      <c r="L68" s="89">
        <f t="shared" si="36"/>
        <v>0</v>
      </c>
    </row>
    <row r="69" spans="1:15">
      <c r="A69" s="8" t="s">
        <v>14</v>
      </c>
      <c r="B69" s="50">
        <f>IF(B$3='Base Cenários'!A$3,'Base Cenários'!E10,(IF(B$3='Base Cenários'!A$14,'Base Cenários'!E21,'Base Cenários'!E32)))</f>
        <v>0</v>
      </c>
      <c r="C69" s="45">
        <f t="shared" si="32"/>
        <v>0</v>
      </c>
      <c r="D69" s="76">
        <v>1</v>
      </c>
      <c r="E69" s="92">
        <f t="shared" si="33"/>
        <v>8.405E-2</v>
      </c>
      <c r="F69" s="81">
        <v>0.75</v>
      </c>
      <c r="G69" s="95">
        <f t="shared" si="34"/>
        <v>8.405E-2</v>
      </c>
      <c r="H69" s="85">
        <v>1</v>
      </c>
      <c r="I69" s="98">
        <v>0.5</v>
      </c>
      <c r="J69" s="89">
        <f t="shared" si="31"/>
        <v>0</v>
      </c>
      <c r="K69" s="89">
        <f t="shared" si="35"/>
        <v>0</v>
      </c>
      <c r="L69" s="89">
        <f t="shared" si="36"/>
        <v>0</v>
      </c>
    </row>
    <row r="70" spans="1:15">
      <c r="A70" s="8" t="s">
        <v>15</v>
      </c>
      <c r="B70" s="50">
        <f>IF(B$3='Base Cenários'!A$3,'Base Cenários'!E11,(IF(B$3='Base Cenários'!A$14,'Base Cenários'!E22,'Base Cenários'!E33)))</f>
        <v>0</v>
      </c>
      <c r="C70" s="45">
        <f t="shared" si="32"/>
        <v>0</v>
      </c>
      <c r="D70" s="76">
        <v>1</v>
      </c>
      <c r="E70" s="92">
        <f t="shared" si="33"/>
        <v>8.405E-2</v>
      </c>
      <c r="F70" s="81">
        <v>0.75</v>
      </c>
      <c r="G70" s="95">
        <f t="shared" si="34"/>
        <v>8.405E-2</v>
      </c>
      <c r="H70" s="85">
        <v>1</v>
      </c>
      <c r="I70" s="98">
        <v>0.5</v>
      </c>
      <c r="J70" s="89">
        <f t="shared" si="31"/>
        <v>0</v>
      </c>
      <c r="K70" s="89">
        <f t="shared" si="35"/>
        <v>0</v>
      </c>
      <c r="L70" s="89">
        <f t="shared" si="36"/>
        <v>0</v>
      </c>
    </row>
    <row r="71" spans="1:15" ht="12.75" thickBot="1">
      <c r="A71" s="10" t="s">
        <v>16</v>
      </c>
      <c r="B71" s="51">
        <f>IF(B$3='Base Cenários'!A$3,'Base Cenários'!E12,(IF(B$3='Base Cenários'!A$14,'Base Cenários'!E23,'Base Cenários'!E34)))</f>
        <v>0</v>
      </c>
      <c r="C71" s="51">
        <f t="shared" si="32"/>
        <v>0</v>
      </c>
      <c r="D71" s="77">
        <v>1</v>
      </c>
      <c r="E71" s="93">
        <f t="shared" si="33"/>
        <v>8.405E-2</v>
      </c>
      <c r="F71" s="82">
        <v>0.75</v>
      </c>
      <c r="G71" s="96">
        <f t="shared" si="34"/>
        <v>8.405E-2</v>
      </c>
      <c r="H71" s="86">
        <v>1</v>
      </c>
      <c r="I71" s="99">
        <v>0.5</v>
      </c>
      <c r="J71" s="90">
        <f t="shared" si="31"/>
        <v>0</v>
      </c>
      <c r="K71" s="90">
        <f t="shared" si="35"/>
        <v>0</v>
      </c>
      <c r="L71" s="90">
        <f t="shared" si="36"/>
        <v>0</v>
      </c>
    </row>
    <row r="72" spans="1:15" ht="12.75" thickBot="1">
      <c r="K72" s="46" t="s">
        <v>40</v>
      </c>
      <c r="L72" s="94">
        <f>SUM(L66:L71)</f>
        <v>0</v>
      </c>
    </row>
    <row r="73" spans="1:15">
      <c r="K73" s="43"/>
      <c r="L73" s="73"/>
    </row>
    <row r="74" spans="1:15" ht="12.75" thickBot="1"/>
    <row r="75" spans="1:15" ht="12.75" thickBot="1">
      <c r="A75" s="165" t="s">
        <v>44</v>
      </c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</row>
    <row r="76" spans="1:15" ht="15.75" customHeight="1" thickBot="1">
      <c r="A76" s="158" t="s">
        <v>36</v>
      </c>
      <c r="B76" s="75" t="s">
        <v>37</v>
      </c>
      <c r="C76" s="75"/>
      <c r="D76" s="75"/>
      <c r="E76" s="75"/>
      <c r="F76" s="164" t="s">
        <v>86</v>
      </c>
      <c r="G76" s="164"/>
      <c r="H76" s="164"/>
      <c r="I76" s="162" t="s">
        <v>88</v>
      </c>
      <c r="J76" s="162"/>
      <c r="K76" s="83" t="s">
        <v>91</v>
      </c>
      <c r="L76" s="163" t="s">
        <v>82</v>
      </c>
      <c r="M76" s="163"/>
      <c r="N76" s="163"/>
      <c r="O76" s="163"/>
    </row>
    <row r="77" spans="1:15" ht="12.75" thickBot="1">
      <c r="A77" s="159"/>
      <c r="B77" s="44" t="s">
        <v>38</v>
      </c>
      <c r="C77" s="44" t="s">
        <v>87</v>
      </c>
      <c r="D77" s="44" t="s">
        <v>89</v>
      </c>
      <c r="E77" s="44" t="s">
        <v>97</v>
      </c>
      <c r="F77" s="80" t="s">
        <v>94</v>
      </c>
      <c r="G77" s="80" t="s">
        <v>95</v>
      </c>
      <c r="H77" s="80" t="s">
        <v>98</v>
      </c>
      <c r="I77" s="91" t="s">
        <v>96</v>
      </c>
      <c r="J77" s="91" t="s">
        <v>98</v>
      </c>
      <c r="K77" s="84" t="s">
        <v>92</v>
      </c>
      <c r="L77" s="88" t="s">
        <v>83</v>
      </c>
      <c r="M77" s="88" t="s">
        <v>84</v>
      </c>
      <c r="N77" s="88" t="s">
        <v>85</v>
      </c>
      <c r="O77" s="88" t="s">
        <v>93</v>
      </c>
    </row>
    <row r="78" spans="1:15">
      <c r="A78" s="8" t="s">
        <v>11</v>
      </c>
      <c r="B78" s="50">
        <f>IF(B$3='Base Cenários'!A$3,'Base Cenários'!F7,(IF(B$3='Base Cenários'!A$14,'Base Cenários'!F18,'Base Cenários'!F29)))</f>
        <v>0</v>
      </c>
      <c r="C78" s="45">
        <f>B78*24*60*60*365</f>
        <v>0</v>
      </c>
      <c r="D78" s="76">
        <v>1</v>
      </c>
      <c r="E78" s="92">
        <f>C$4</f>
        <v>8.405E-2</v>
      </c>
      <c r="F78" s="81">
        <f t="shared" ref="F78:F83" si="37">C78</f>
        <v>0</v>
      </c>
      <c r="G78" s="81">
        <v>0</v>
      </c>
      <c r="H78" s="95">
        <f>C$4</f>
        <v>8.405E-2</v>
      </c>
      <c r="I78" s="47">
        <f>IF(B$3='Base Cenários'!A$3,'Base Cenários'!K7,(IF(B$3='Base Cenários'!A$14,'Base Cenários'!K18,'Base Cenários'!K29)))</f>
        <v>0</v>
      </c>
      <c r="J78" s="47">
        <f>C$4</f>
        <v>8.405E-2</v>
      </c>
      <c r="K78" s="85">
        <v>1</v>
      </c>
      <c r="L78" s="89">
        <f>C78*D78*E78</f>
        <v>0</v>
      </c>
      <c r="M78" s="89">
        <f>IF(F78&gt;0,(F78-G78)*H78*(C78/F78),0)</f>
        <v>0</v>
      </c>
      <c r="N78" s="89">
        <f>I78*J78</f>
        <v>0</v>
      </c>
      <c r="O78" s="89">
        <f>(L78+M78+N78)*K78</f>
        <v>0</v>
      </c>
    </row>
    <row r="79" spans="1:15">
      <c r="A79" s="8" t="s">
        <v>12</v>
      </c>
      <c r="B79" s="50">
        <f>IF(B$3='Base Cenários'!A$3,'Base Cenários'!F8,(IF(B$3='Base Cenários'!A$14,'Base Cenários'!F19,'Base Cenários'!F30)))</f>
        <v>0</v>
      </c>
      <c r="C79" s="45">
        <f t="shared" ref="C79:C83" si="38">B79*24*60*60*365</f>
        <v>0</v>
      </c>
      <c r="D79" s="76">
        <v>1</v>
      </c>
      <c r="E79" s="92">
        <f t="shared" ref="E79:E83" si="39">C$4</f>
        <v>8.405E-2</v>
      </c>
      <c r="F79" s="81">
        <f t="shared" si="37"/>
        <v>0</v>
      </c>
      <c r="G79" s="81">
        <v>0</v>
      </c>
      <c r="H79" s="95">
        <f t="shared" ref="H79:H83" si="40">C$4</f>
        <v>8.405E-2</v>
      </c>
      <c r="I79" s="47">
        <f>IF(B$3='Base Cenários'!A$3,'Base Cenários'!K8,(IF(B$3='Base Cenários'!A$14,'Base Cenários'!K19,'Base Cenários'!K30)))</f>
        <v>0</v>
      </c>
      <c r="J79" s="47">
        <f t="shared" ref="J79:J83" si="41">C$4</f>
        <v>8.405E-2</v>
      </c>
      <c r="K79" s="85">
        <v>1</v>
      </c>
      <c r="L79" s="89">
        <f t="shared" ref="L79:L83" si="42">C79*D79*E79</f>
        <v>0</v>
      </c>
      <c r="M79" s="89">
        <f t="shared" ref="M79:M83" si="43">IF(F79&gt;0,(F79-G79)*H79*(C79/F79),0)</f>
        <v>0</v>
      </c>
      <c r="N79" s="89">
        <f t="shared" ref="N79:N83" si="44">I79*J79</f>
        <v>0</v>
      </c>
      <c r="O79" s="89">
        <f t="shared" ref="O79:O83" si="45">(L79+M79+N79)*K79</f>
        <v>0</v>
      </c>
    </row>
    <row r="80" spans="1:15">
      <c r="A80" s="8" t="s">
        <v>13</v>
      </c>
      <c r="B80" s="50">
        <f>IF(B$3='Base Cenários'!A$3,'Base Cenários'!F9,(IF(B$3='Base Cenários'!A$14,'Base Cenários'!F20,'Base Cenários'!F31)))</f>
        <v>0</v>
      </c>
      <c r="C80" s="45">
        <f t="shared" si="38"/>
        <v>0</v>
      </c>
      <c r="D80" s="76">
        <v>1</v>
      </c>
      <c r="E80" s="92">
        <f t="shared" si="39"/>
        <v>8.405E-2</v>
      </c>
      <c r="F80" s="81">
        <f t="shared" si="37"/>
        <v>0</v>
      </c>
      <c r="G80" s="81">
        <v>0</v>
      </c>
      <c r="H80" s="95">
        <f t="shared" si="40"/>
        <v>8.405E-2</v>
      </c>
      <c r="I80" s="47">
        <f>IF(B$3='Base Cenários'!A$3,'Base Cenários'!K9,(IF(B$3='Base Cenários'!A$14,'Base Cenários'!K20,'Base Cenários'!K31)))</f>
        <v>0</v>
      </c>
      <c r="J80" s="47">
        <f t="shared" si="41"/>
        <v>8.405E-2</v>
      </c>
      <c r="K80" s="85">
        <v>1</v>
      </c>
      <c r="L80" s="89">
        <f t="shared" si="42"/>
        <v>0</v>
      </c>
      <c r="M80" s="89">
        <f t="shared" si="43"/>
        <v>0</v>
      </c>
      <c r="N80" s="89">
        <f t="shared" si="44"/>
        <v>0</v>
      </c>
      <c r="O80" s="89">
        <f t="shared" si="45"/>
        <v>0</v>
      </c>
    </row>
    <row r="81" spans="1:15">
      <c r="A81" s="8" t="s">
        <v>14</v>
      </c>
      <c r="B81" s="50">
        <f>IF(B$3='Base Cenários'!A$3,'Base Cenários'!F10,(IF(B$3='Base Cenários'!A$14,'Base Cenários'!F21,'Base Cenários'!F32)))</f>
        <v>1.1408401826484014</v>
      </c>
      <c r="C81" s="45">
        <f t="shared" si="38"/>
        <v>35977535.999999985</v>
      </c>
      <c r="D81" s="76">
        <v>1</v>
      </c>
      <c r="E81" s="92">
        <f t="shared" si="39"/>
        <v>8.405E-2</v>
      </c>
      <c r="F81" s="81">
        <f t="shared" si="37"/>
        <v>35977535.999999985</v>
      </c>
      <c r="G81" s="81">
        <v>0</v>
      </c>
      <c r="H81" s="95">
        <f t="shared" si="40"/>
        <v>8.405E-2</v>
      </c>
      <c r="I81" s="47">
        <f>IF(B$3='Base Cenários'!A$3,'Base Cenários'!K10,(IF(B$3='Base Cenários'!A$14,'Base Cenários'!K21,'Base Cenários'!K32)))</f>
        <v>290439.19872000004</v>
      </c>
      <c r="J81" s="47">
        <f t="shared" si="41"/>
        <v>8.405E-2</v>
      </c>
      <c r="K81" s="85">
        <v>1</v>
      </c>
      <c r="L81" s="89">
        <f t="shared" si="42"/>
        <v>3023911.9007999985</v>
      </c>
      <c r="M81" s="89">
        <f t="shared" si="43"/>
        <v>3023911.9007999985</v>
      </c>
      <c r="N81" s="89">
        <f t="shared" si="44"/>
        <v>24411.414652416002</v>
      </c>
      <c r="O81" s="89">
        <f t="shared" si="45"/>
        <v>6072235.2162524126</v>
      </c>
    </row>
    <row r="82" spans="1:15">
      <c r="A82" s="8" t="s">
        <v>15</v>
      </c>
      <c r="B82" s="50">
        <f>IF(B$3='Base Cenários'!A$3,'Base Cenários'!F11,(IF(B$3='Base Cenários'!A$14,'Base Cenários'!F22,'Base Cenários'!F33)))</f>
        <v>0</v>
      </c>
      <c r="C82" s="45">
        <f t="shared" si="38"/>
        <v>0</v>
      </c>
      <c r="D82" s="76">
        <v>1</v>
      </c>
      <c r="E82" s="92">
        <f t="shared" si="39"/>
        <v>8.405E-2</v>
      </c>
      <c r="F82" s="81">
        <f t="shared" si="37"/>
        <v>0</v>
      </c>
      <c r="G82" s="81">
        <v>0</v>
      </c>
      <c r="H82" s="95">
        <f t="shared" si="40"/>
        <v>8.405E-2</v>
      </c>
      <c r="I82" s="47">
        <f>IF(B$3='Base Cenários'!A$3,'Base Cenários'!K11,(IF(B$3='Base Cenários'!A$14,'Base Cenários'!K22,'Base Cenários'!K33)))</f>
        <v>0</v>
      </c>
      <c r="J82" s="47">
        <f t="shared" si="41"/>
        <v>8.405E-2</v>
      </c>
      <c r="K82" s="85">
        <v>1</v>
      </c>
      <c r="L82" s="89">
        <f t="shared" si="42"/>
        <v>0</v>
      </c>
      <c r="M82" s="89">
        <f t="shared" si="43"/>
        <v>0</v>
      </c>
      <c r="N82" s="89">
        <f t="shared" si="44"/>
        <v>0</v>
      </c>
      <c r="O82" s="89">
        <f t="shared" si="45"/>
        <v>0</v>
      </c>
    </row>
    <row r="83" spans="1:15" ht="12.75" thickBot="1">
      <c r="A83" s="10" t="s">
        <v>16</v>
      </c>
      <c r="B83" s="51">
        <f>IF(B$3='Base Cenários'!A$3,'Base Cenários'!F12,(IF(B$3='Base Cenários'!A$14,'Base Cenários'!F23,'Base Cenários'!F34)))</f>
        <v>0</v>
      </c>
      <c r="C83" s="51">
        <f t="shared" si="38"/>
        <v>0</v>
      </c>
      <c r="D83" s="77">
        <v>1</v>
      </c>
      <c r="E83" s="93">
        <f t="shared" si="39"/>
        <v>8.405E-2</v>
      </c>
      <c r="F83" s="82">
        <f t="shared" si="37"/>
        <v>0</v>
      </c>
      <c r="G83" s="82">
        <v>0</v>
      </c>
      <c r="H83" s="96">
        <f t="shared" si="40"/>
        <v>8.405E-2</v>
      </c>
      <c r="I83" s="48">
        <f>IF(B$3='Base Cenários'!A$3,'Base Cenários'!K12,(IF(B$3='Base Cenários'!A$14,'Base Cenários'!K23,'Base Cenários'!K34)))</f>
        <v>0</v>
      </c>
      <c r="J83" s="48">
        <f t="shared" si="41"/>
        <v>8.405E-2</v>
      </c>
      <c r="K83" s="86">
        <v>1</v>
      </c>
      <c r="L83" s="90">
        <f t="shared" si="42"/>
        <v>0</v>
      </c>
      <c r="M83" s="90">
        <f t="shared" si="43"/>
        <v>0</v>
      </c>
      <c r="N83" s="90">
        <f t="shared" si="44"/>
        <v>0</v>
      </c>
      <c r="O83" s="90">
        <f t="shared" si="45"/>
        <v>0</v>
      </c>
    </row>
    <row r="84" spans="1:15" ht="12.75" thickBot="1">
      <c r="N84" s="46" t="s">
        <v>40</v>
      </c>
      <c r="O84" s="94">
        <f>SUM(O78:O83)</f>
        <v>6072235.2162524126</v>
      </c>
    </row>
  </sheetData>
  <mergeCells count="34">
    <mergeCell ref="A1:M1"/>
    <mergeCell ref="B2:I2"/>
    <mergeCell ref="A6:F6"/>
    <mergeCell ref="H6:M6"/>
    <mergeCell ref="A7:A8"/>
    <mergeCell ref="H7:H8"/>
    <mergeCell ref="B8:F8"/>
    <mergeCell ref="I8:M8"/>
    <mergeCell ref="A25:Q25"/>
    <mergeCell ref="A26:A27"/>
    <mergeCell ref="B26:F26"/>
    <mergeCell ref="G26:J26"/>
    <mergeCell ref="K26:L26"/>
    <mergeCell ref="N26:Q26"/>
    <mergeCell ref="A64:A65"/>
    <mergeCell ref="B64:E64"/>
    <mergeCell ref="F64:G64"/>
    <mergeCell ref="J64:L64"/>
    <mergeCell ref="A39:M39"/>
    <mergeCell ref="A40:A41"/>
    <mergeCell ref="B40:E40"/>
    <mergeCell ref="F40:H40"/>
    <mergeCell ref="K40:M40"/>
    <mergeCell ref="A51:O51"/>
    <mergeCell ref="A52:A53"/>
    <mergeCell ref="F52:H52"/>
    <mergeCell ref="I52:J52"/>
    <mergeCell ref="L52:O52"/>
    <mergeCell ref="A63:L63"/>
    <mergeCell ref="A75:O75"/>
    <mergeCell ref="A76:A77"/>
    <mergeCell ref="F76:H76"/>
    <mergeCell ref="I76:J76"/>
    <mergeCell ref="L76:O76"/>
  </mergeCells>
  <dataValidations count="2">
    <dataValidation type="list" allowBlank="1" showInputMessage="1" showErrorMessage="1" sqref="B4" xr:uid="{696A700D-B6D3-4DC9-B9D4-2589493D45D1}">
      <formula1>"PPU 1,PPU 2,PPU 3"</formula1>
    </dataValidation>
    <dataValidation type="list" allowBlank="1" showInputMessage="1" showErrorMessage="1" sqref="B3" xr:uid="{B9008AF3-733A-41D4-80C0-19AA750C303B}">
      <formula1>"Cenário 1,Cenário 2,Cenário 3"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6D0C8-9F59-40DF-B953-1515078226A7}">
  <dimension ref="A1:Q84"/>
  <sheetViews>
    <sheetView workbookViewId="0">
      <selection activeCell="B12" sqref="B12:F15"/>
    </sheetView>
  </sheetViews>
  <sheetFormatPr defaultColWidth="9.125" defaultRowHeight="12"/>
  <cols>
    <col min="1" max="1" width="19.75" style="8" bestFit="1" customWidth="1"/>
    <col min="2" max="2" width="16.25" style="8" bestFit="1" customWidth="1"/>
    <col min="3" max="4" width="15.25" style="8" bestFit="1" customWidth="1"/>
    <col min="5" max="5" width="12.75" style="8" bestFit="1" customWidth="1"/>
    <col min="6" max="6" width="16.125" style="8" bestFit="1" customWidth="1"/>
    <col min="7" max="7" width="12.375" style="8" customWidth="1"/>
    <col min="8" max="8" width="18" style="8" customWidth="1"/>
    <col min="9" max="9" width="15.875" style="42" bestFit="1" customWidth="1"/>
    <col min="10" max="10" width="16.125" style="42" bestFit="1" customWidth="1"/>
    <col min="11" max="11" width="13.625" style="8" bestFit="1" customWidth="1"/>
    <col min="12" max="13" width="15" style="8" bestFit="1" customWidth="1"/>
    <col min="14" max="14" width="16" style="8" bestFit="1" customWidth="1"/>
    <col min="15" max="15" width="15" style="8" bestFit="1" customWidth="1"/>
    <col min="16" max="16" width="13.625" style="8" bestFit="1" customWidth="1"/>
    <col min="17" max="17" width="15" style="8" bestFit="1" customWidth="1"/>
    <col min="18" max="16384" width="9.125" style="8"/>
  </cols>
  <sheetData>
    <row r="1" spans="1:13" ht="15.75">
      <c r="A1" s="152" t="s">
        <v>112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</row>
    <row r="2" spans="1:13">
      <c r="A2" s="38" t="s">
        <v>34</v>
      </c>
      <c r="B2" s="153" t="s">
        <v>100</v>
      </c>
      <c r="C2" s="153"/>
      <c r="D2" s="153"/>
      <c r="E2" s="153"/>
      <c r="F2" s="153"/>
      <c r="G2" s="153"/>
      <c r="H2" s="153"/>
      <c r="I2" s="153"/>
      <c r="J2" s="39"/>
    </row>
    <row r="3" spans="1:13">
      <c r="A3" s="38" t="s">
        <v>35</v>
      </c>
      <c r="B3" s="40" t="s">
        <v>68</v>
      </c>
      <c r="C3" s="40"/>
      <c r="D3" s="40"/>
      <c r="E3" s="40"/>
      <c r="F3" s="40"/>
      <c r="G3" s="40"/>
      <c r="H3" s="40"/>
      <c r="I3" s="39"/>
      <c r="J3" s="39"/>
    </row>
    <row r="4" spans="1:13">
      <c r="A4" s="38" t="s">
        <v>81</v>
      </c>
      <c r="B4" s="40" t="s">
        <v>64</v>
      </c>
      <c r="C4" s="52">
        <f>IF(B4='Base Cenários'!M2,'Base Cenários'!N2,(IF('Cenário B.1.3'!B4='Base Cenários'!M3,'Base Cenários'!N3,'Base Cenários'!N4)))</f>
        <v>0.15</v>
      </c>
      <c r="D4" s="40" t="s">
        <v>41</v>
      </c>
      <c r="E4" s="40"/>
      <c r="F4" s="40"/>
      <c r="G4" s="40"/>
      <c r="H4" s="40"/>
      <c r="I4" s="39"/>
      <c r="J4" s="39"/>
    </row>
    <row r="5" spans="1:13" ht="12.75" thickBot="1">
      <c r="A5" s="10"/>
      <c r="B5" s="10"/>
      <c r="C5" s="10"/>
      <c r="D5" s="10"/>
      <c r="E5" s="10"/>
      <c r="F5" s="10"/>
      <c r="H5" s="10"/>
      <c r="I5" s="41"/>
      <c r="J5" s="41"/>
      <c r="K5" s="10"/>
      <c r="L5" s="10"/>
      <c r="M5" s="10"/>
    </row>
    <row r="6" spans="1:13">
      <c r="A6" s="154" t="s">
        <v>46</v>
      </c>
      <c r="B6" s="154"/>
      <c r="C6" s="154"/>
      <c r="D6" s="154"/>
      <c r="E6" s="154"/>
      <c r="F6" s="154"/>
      <c r="H6" s="154" t="s">
        <v>47</v>
      </c>
      <c r="I6" s="154"/>
      <c r="J6" s="154"/>
      <c r="K6" s="154"/>
      <c r="L6" s="154"/>
      <c r="M6" s="154"/>
    </row>
    <row r="7" spans="1:13" s="11" customFormat="1">
      <c r="A7" s="155" t="s">
        <v>45</v>
      </c>
      <c r="B7" s="35" t="s">
        <v>1</v>
      </c>
      <c r="C7" s="35" t="s">
        <v>2</v>
      </c>
      <c r="D7" s="35" t="s">
        <v>3</v>
      </c>
      <c r="E7" s="35" t="s">
        <v>4</v>
      </c>
      <c r="F7" s="35" t="s">
        <v>5</v>
      </c>
      <c r="H7" s="155" t="s">
        <v>45</v>
      </c>
      <c r="I7" s="35" t="s">
        <v>1</v>
      </c>
      <c r="J7" s="35" t="s">
        <v>2</v>
      </c>
      <c r="K7" s="35" t="s">
        <v>3</v>
      </c>
      <c r="L7" s="35" t="s">
        <v>4</v>
      </c>
      <c r="M7" s="35" t="s">
        <v>5</v>
      </c>
    </row>
    <row r="8" spans="1:13">
      <c r="A8" s="156"/>
      <c r="B8" s="144" t="s">
        <v>39</v>
      </c>
      <c r="C8" s="144"/>
      <c r="D8" s="144"/>
      <c r="E8" s="144"/>
      <c r="F8" s="144"/>
      <c r="H8" s="156"/>
      <c r="I8" s="144" t="s">
        <v>48</v>
      </c>
      <c r="J8" s="144"/>
      <c r="K8" s="144"/>
      <c r="L8" s="144"/>
      <c r="M8" s="144"/>
    </row>
    <row r="9" spans="1:13">
      <c r="A9" s="8" t="s">
        <v>11</v>
      </c>
      <c r="B9" s="9">
        <f t="shared" ref="B9:B14" si="0">Q28</f>
        <v>0</v>
      </c>
      <c r="C9" s="9">
        <f>M42</f>
        <v>0</v>
      </c>
      <c r="D9" s="9">
        <f>O54</f>
        <v>0</v>
      </c>
      <c r="E9" s="9">
        <f>L66</f>
        <v>0</v>
      </c>
      <c r="F9" s="9">
        <f>O78</f>
        <v>0</v>
      </c>
      <c r="H9" s="8" t="s">
        <v>11</v>
      </c>
      <c r="I9" s="53">
        <f>IF(Renda!B20&gt;0,B9/Renda!B20,0)</f>
        <v>0</v>
      </c>
      <c r="J9" s="53">
        <f>IF(Renda!C20&gt;0,C9/Renda!C20,0)</f>
        <v>0</v>
      </c>
      <c r="K9" s="53">
        <f>IF(Renda!D20&gt;0,D9/Renda!D20,0)</f>
        <v>0</v>
      </c>
      <c r="L9" s="53">
        <f>IF(Renda!E20&gt;0,E9/Renda!E20,0)</f>
        <v>0</v>
      </c>
      <c r="M9" s="53">
        <f>IF(Renda!F20&gt;0,F9/Renda!F20,0)</f>
        <v>0</v>
      </c>
    </row>
    <row r="10" spans="1:13">
      <c r="A10" s="8" t="s">
        <v>12</v>
      </c>
      <c r="B10" s="9">
        <f t="shared" si="0"/>
        <v>0</v>
      </c>
      <c r="C10" s="9">
        <f t="shared" ref="C10:C14" si="1">M43</f>
        <v>0</v>
      </c>
      <c r="D10" s="9">
        <f t="shared" ref="D10:D14" si="2">O55</f>
        <v>0</v>
      </c>
      <c r="E10" s="9">
        <f t="shared" ref="E10:E14" si="3">L67</f>
        <v>0</v>
      </c>
      <c r="F10" s="9">
        <f t="shared" ref="F10:F14" si="4">O79</f>
        <v>0</v>
      </c>
      <c r="H10" s="8" t="s">
        <v>12</v>
      </c>
      <c r="I10" s="53">
        <f>IF(Renda!B21&gt;0,B10/Renda!B21,0)</f>
        <v>0</v>
      </c>
      <c r="J10" s="53">
        <f>IF(Renda!C21&gt;0,C10/Renda!C21,0)</f>
        <v>0</v>
      </c>
      <c r="K10" s="53">
        <f>IF(Renda!D21&gt;0,D10/Renda!D21,0)</f>
        <v>0</v>
      </c>
      <c r="L10" s="53">
        <f>IF(Renda!E21&gt;0,E10/Renda!E21,0)</f>
        <v>0</v>
      </c>
      <c r="M10" s="53">
        <f>IF(Renda!F21&gt;0,F10/Renda!F21,0)</f>
        <v>0</v>
      </c>
    </row>
    <row r="11" spans="1:13">
      <c r="A11" s="8" t="s">
        <v>13</v>
      </c>
      <c r="B11" s="9">
        <f t="shared" si="0"/>
        <v>0</v>
      </c>
      <c r="C11" s="9">
        <f t="shared" si="1"/>
        <v>0</v>
      </c>
      <c r="D11" s="9">
        <f t="shared" si="2"/>
        <v>0</v>
      </c>
      <c r="E11" s="9">
        <f t="shared" si="3"/>
        <v>0</v>
      </c>
      <c r="F11" s="9">
        <f t="shared" si="4"/>
        <v>0</v>
      </c>
      <c r="H11" s="8" t="s">
        <v>13</v>
      </c>
      <c r="I11" s="53">
        <f>IF(Renda!B22&gt;0,B11/Renda!B22,0)</f>
        <v>0</v>
      </c>
      <c r="J11" s="53">
        <f>IF(Renda!C22&gt;0,C11/Renda!C22,0)</f>
        <v>0</v>
      </c>
      <c r="K11" s="53">
        <f>IF(Renda!D22&gt;0,D11/Renda!D22,0)</f>
        <v>0</v>
      </c>
      <c r="L11" s="53">
        <f>IF(Renda!E22&gt;0,E11/Renda!E22,0)</f>
        <v>0</v>
      </c>
      <c r="M11" s="53">
        <f>IF(Renda!F22&gt;0,F11/Renda!F22,0)</f>
        <v>0</v>
      </c>
    </row>
    <row r="12" spans="1:13">
      <c r="A12" s="8" t="s">
        <v>14</v>
      </c>
      <c r="B12" s="9">
        <f t="shared" si="0"/>
        <v>9874300.7278869022</v>
      </c>
      <c r="C12" s="9">
        <f t="shared" si="1"/>
        <v>0</v>
      </c>
      <c r="D12" s="9">
        <f t="shared" si="2"/>
        <v>2227562.008694794</v>
      </c>
      <c r="E12" s="9">
        <f t="shared" si="3"/>
        <v>0</v>
      </c>
      <c r="F12" s="9">
        <f t="shared" si="4"/>
        <v>10836826.679807995</v>
      </c>
      <c r="H12" s="8" t="s">
        <v>14</v>
      </c>
      <c r="I12" s="53">
        <f>IF(Renda!B23&gt;0,B12/Renda!B23,0)</f>
        <v>0.11616318676752609</v>
      </c>
      <c r="J12" s="53">
        <f>IF(Renda!C23&gt;0,C12/Renda!C23,0)</f>
        <v>0</v>
      </c>
      <c r="K12" s="53">
        <f>IF(Renda!D23&gt;0,D12/Renda!D23,0)</f>
        <v>3.6342563471300395E-4</v>
      </c>
      <c r="L12" s="53">
        <f>IF(Renda!E23&gt;0,E12/Renda!E23,0)</f>
        <v>0</v>
      </c>
      <c r="M12" s="53">
        <f>IF(Renda!F23&gt;0,F12/Renda!F23,0)</f>
        <v>3.7446308926454399E-3</v>
      </c>
    </row>
    <row r="13" spans="1:13">
      <c r="A13" s="8" t="s">
        <v>15</v>
      </c>
      <c r="B13" s="9">
        <f t="shared" si="0"/>
        <v>0</v>
      </c>
      <c r="C13" s="9">
        <f t="shared" si="1"/>
        <v>0</v>
      </c>
      <c r="D13" s="9">
        <f t="shared" si="2"/>
        <v>0</v>
      </c>
      <c r="E13" s="9">
        <f t="shared" si="3"/>
        <v>0</v>
      </c>
      <c r="F13" s="9">
        <f t="shared" si="4"/>
        <v>0</v>
      </c>
      <c r="H13" s="8" t="s">
        <v>15</v>
      </c>
      <c r="I13" s="53">
        <f>IF(Renda!B24&gt;0,B13/Renda!B24,0)</f>
        <v>0</v>
      </c>
      <c r="J13" s="53">
        <f>IF(Renda!C24&gt;0,C13/Renda!C24,0)</f>
        <v>0</v>
      </c>
      <c r="K13" s="53">
        <f>IF(Renda!D24&gt;0,D13/Renda!D24,0)</f>
        <v>0</v>
      </c>
      <c r="L13" s="53">
        <f>IF(Renda!E24&gt;0,E13/Renda!E24,0)</f>
        <v>0</v>
      </c>
      <c r="M13" s="53">
        <f>IF(Renda!F24&gt;0,F13/Renda!F24,0)</f>
        <v>0</v>
      </c>
    </row>
    <row r="14" spans="1:13">
      <c r="A14" s="8" t="s">
        <v>16</v>
      </c>
      <c r="B14" s="9">
        <f t="shared" si="0"/>
        <v>4199.04</v>
      </c>
      <c r="C14" s="9">
        <f t="shared" si="1"/>
        <v>0</v>
      </c>
      <c r="D14" s="9">
        <f t="shared" si="2"/>
        <v>5919.8399999999983</v>
      </c>
      <c r="E14" s="9">
        <f t="shared" si="3"/>
        <v>0</v>
      </c>
      <c r="F14" s="9">
        <f t="shared" si="4"/>
        <v>0</v>
      </c>
      <c r="H14" s="8" t="s">
        <v>16</v>
      </c>
      <c r="I14" s="53">
        <f>IF(Renda!B25&gt;0,B14/Renda!B25,0)</f>
        <v>8.5182570155785146E-5</v>
      </c>
      <c r="J14" s="53">
        <f>IF(Renda!C25&gt;0,C14/Renda!C25,0)</f>
        <v>0</v>
      </c>
      <c r="K14" s="53">
        <f>IF(Renda!D25&gt;0,D14/Renda!D25,0)</f>
        <v>1.255617172848095E-6</v>
      </c>
      <c r="L14" s="53">
        <f>IF(Renda!E25&gt;0,E14/Renda!E25,0)</f>
        <v>0</v>
      </c>
      <c r="M14" s="53">
        <f>IF(Renda!F25&gt;0,F14/Renda!F25,0)</f>
        <v>0</v>
      </c>
    </row>
    <row r="15" spans="1:13" ht="12.75" thickBot="1">
      <c r="A15" s="36" t="s">
        <v>17</v>
      </c>
      <c r="B15" s="37">
        <f>SUM(B9:B14)</f>
        <v>9878499.7678869013</v>
      </c>
      <c r="C15" s="37">
        <f t="shared" ref="C15:E15" si="5">SUM(C9:C14)</f>
        <v>0</v>
      </c>
      <c r="D15" s="37">
        <f t="shared" si="5"/>
        <v>2233481.8486947939</v>
      </c>
      <c r="E15" s="37">
        <f t="shared" si="5"/>
        <v>0</v>
      </c>
      <c r="F15" s="37">
        <f>SUM(F9:F14)</f>
        <v>10836826.679807995</v>
      </c>
      <c r="H15" s="36" t="s">
        <v>17</v>
      </c>
      <c r="I15" s="54">
        <f>IF(B15&gt;0,B15/Renda!B26,0)</f>
        <v>6.4542223498352827E-2</v>
      </c>
      <c r="J15" s="54">
        <f>IF(C15&gt;0,C15/Renda!C26,0)</f>
        <v>0</v>
      </c>
      <c r="K15" s="54">
        <f>IF(D15&gt;0,D15/Renda!D26,0)</f>
        <v>1.6683988396285504E-4</v>
      </c>
      <c r="L15" s="54">
        <f>IF(E15&gt;0,E15/Renda!E26,0)</f>
        <v>0</v>
      </c>
      <c r="M15" s="54">
        <f>IF(F15&gt;0,F15/Renda!F26,0)</f>
        <v>3.7446308926454399E-3</v>
      </c>
    </row>
    <row r="16" spans="1:13">
      <c r="A16" s="43"/>
      <c r="B16" s="73"/>
      <c r="C16" s="73"/>
      <c r="D16" s="73"/>
      <c r="E16" s="73"/>
      <c r="F16" s="73"/>
      <c r="H16" s="43"/>
      <c r="I16" s="74"/>
      <c r="J16" s="74"/>
      <c r="K16" s="74"/>
      <c r="L16" s="74"/>
      <c r="M16" s="74"/>
    </row>
    <row r="17" spans="1:17">
      <c r="A17" s="43"/>
      <c r="B17" s="73"/>
      <c r="C17" s="73"/>
      <c r="D17" s="73"/>
      <c r="E17" s="73"/>
      <c r="F17" s="73"/>
      <c r="H17" s="43"/>
      <c r="I17" s="74"/>
      <c r="J17" s="74"/>
      <c r="K17" s="74"/>
      <c r="L17" s="74"/>
      <c r="M17" s="74"/>
    </row>
    <row r="18" spans="1:17">
      <c r="A18" s="43" t="s">
        <v>49</v>
      </c>
      <c r="B18" s="73"/>
      <c r="C18" s="73"/>
      <c r="D18" s="73"/>
      <c r="E18" s="73"/>
      <c r="F18" s="73"/>
      <c r="H18" s="43"/>
      <c r="I18" s="74"/>
      <c r="J18" s="74"/>
      <c r="K18" s="74"/>
      <c r="L18" s="74"/>
      <c r="M18" s="74"/>
    </row>
    <row r="19" spans="1:17">
      <c r="A19" s="43"/>
      <c r="B19" s="73"/>
      <c r="C19" s="73"/>
      <c r="D19" s="73"/>
      <c r="E19" s="73"/>
      <c r="F19" s="73"/>
      <c r="H19" s="43"/>
      <c r="I19" s="74"/>
      <c r="J19" s="74"/>
      <c r="K19" s="74"/>
      <c r="L19" s="74"/>
      <c r="M19" s="74"/>
    </row>
    <row r="20" spans="1:17">
      <c r="A20" s="43"/>
      <c r="B20" s="73"/>
      <c r="C20" s="73"/>
      <c r="D20" s="73"/>
      <c r="E20" s="73"/>
      <c r="F20" s="73"/>
      <c r="H20" s="43"/>
      <c r="I20" s="74"/>
      <c r="J20" s="74"/>
      <c r="K20" s="74"/>
      <c r="L20" s="74"/>
      <c r="M20" s="74"/>
    </row>
    <row r="24" spans="1:17" ht="12.75" thickBot="1">
      <c r="A24" s="46"/>
      <c r="B24" s="10"/>
      <c r="C24" s="10"/>
      <c r="D24" s="10"/>
      <c r="E24" s="10"/>
      <c r="F24" s="10"/>
      <c r="G24" s="10"/>
      <c r="H24" s="10"/>
      <c r="I24" s="41"/>
      <c r="J24" s="41"/>
      <c r="K24" s="10"/>
      <c r="L24" s="10"/>
      <c r="M24" s="10"/>
      <c r="N24" s="10"/>
      <c r="O24" s="10"/>
      <c r="P24" s="10"/>
      <c r="Q24" s="10"/>
    </row>
    <row r="25" spans="1:17" ht="15.75" customHeight="1" thickBot="1">
      <c r="A25" s="157" t="s">
        <v>42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</row>
    <row r="26" spans="1:17" ht="36.75" customHeight="1" thickBot="1">
      <c r="A26" s="158" t="s">
        <v>36</v>
      </c>
      <c r="B26" s="160" t="s">
        <v>37</v>
      </c>
      <c r="C26" s="160"/>
      <c r="D26" s="160"/>
      <c r="E26" s="160"/>
      <c r="F26" s="160"/>
      <c r="G26" s="161" t="s">
        <v>86</v>
      </c>
      <c r="H26" s="161"/>
      <c r="I26" s="161"/>
      <c r="J26" s="161"/>
      <c r="K26" s="162" t="s">
        <v>88</v>
      </c>
      <c r="L26" s="162"/>
      <c r="M26" s="83" t="s">
        <v>91</v>
      </c>
      <c r="N26" s="163" t="s">
        <v>82</v>
      </c>
      <c r="O26" s="163"/>
      <c r="P26" s="163"/>
      <c r="Q26" s="163"/>
    </row>
    <row r="27" spans="1:17" ht="24.75" thickBot="1">
      <c r="A27" s="159"/>
      <c r="B27" s="44" t="s">
        <v>38</v>
      </c>
      <c r="C27" s="44" t="s">
        <v>87</v>
      </c>
      <c r="D27" s="44" t="s">
        <v>89</v>
      </c>
      <c r="E27" s="44" t="s">
        <v>90</v>
      </c>
      <c r="F27" s="44" t="s">
        <v>97</v>
      </c>
      <c r="G27" s="80" t="s">
        <v>99</v>
      </c>
      <c r="H27" s="80" t="s">
        <v>94</v>
      </c>
      <c r="I27" s="80" t="s">
        <v>95</v>
      </c>
      <c r="J27" s="80" t="s">
        <v>98</v>
      </c>
      <c r="K27" s="91" t="s">
        <v>96</v>
      </c>
      <c r="L27" s="91" t="s">
        <v>98</v>
      </c>
      <c r="M27" s="84" t="s">
        <v>92</v>
      </c>
      <c r="N27" s="88" t="s">
        <v>83</v>
      </c>
      <c r="O27" s="88" t="s">
        <v>84</v>
      </c>
      <c r="P27" s="88" t="s">
        <v>85</v>
      </c>
      <c r="Q27" s="88" t="s">
        <v>93</v>
      </c>
    </row>
    <row r="28" spans="1:17">
      <c r="A28" s="8" t="s">
        <v>11</v>
      </c>
      <c r="B28" s="50">
        <f>IF(B$3='Base Cenários'!A$3,'Base Cenários'!B7,(IF(B$3='Base Cenários'!A$14,'Base Cenários'!B18,'Base Cenários'!B29)))</f>
        <v>0</v>
      </c>
      <c r="C28" s="45">
        <f>B28*24*60*60*365</f>
        <v>0</v>
      </c>
      <c r="D28" s="76">
        <v>1</v>
      </c>
      <c r="E28" s="78">
        <v>1</v>
      </c>
      <c r="F28" s="92">
        <f>C$4</f>
        <v>0.15</v>
      </c>
      <c r="G28" s="81">
        <v>0.5</v>
      </c>
      <c r="H28" s="81">
        <f t="shared" ref="H28:H33" si="6">C28</f>
        <v>0</v>
      </c>
      <c r="I28" s="81">
        <v>0</v>
      </c>
      <c r="J28" s="95">
        <f>C$4</f>
        <v>0.15</v>
      </c>
      <c r="K28" s="47">
        <f>IF(B$3='Base Cenários'!A$3,'Base Cenários'!I7,(IF(B$3='Base Cenários'!A$14,'Base Cenários'!I18,'Base Cenários'!I29)))</f>
        <v>0</v>
      </c>
      <c r="L28" s="47">
        <f>C$4</f>
        <v>0.15</v>
      </c>
      <c r="M28" s="85">
        <v>1</v>
      </c>
      <c r="N28" s="89">
        <f>C28*D28*E28*F28</f>
        <v>0</v>
      </c>
      <c r="O28" s="89">
        <f>IF(H28&gt;0,(H28-I28)*J28*(C28/H28)*G28,0)</f>
        <v>0</v>
      </c>
      <c r="P28" s="89">
        <f>K28*L28</f>
        <v>0</v>
      </c>
      <c r="Q28" s="89">
        <f>(N28+O28+P28)*M28</f>
        <v>0</v>
      </c>
    </row>
    <row r="29" spans="1:17">
      <c r="A29" s="8" t="s">
        <v>12</v>
      </c>
      <c r="B29" s="50">
        <f>IF(B$3='Base Cenários'!A$3,'Base Cenários'!B8,(IF(B$3='Base Cenários'!A$14,'Base Cenários'!B19,'Base Cenários'!B30)))</f>
        <v>0</v>
      </c>
      <c r="C29" s="45">
        <f t="shared" ref="C29:C33" si="7">B29*24*60*60*365</f>
        <v>0</v>
      </c>
      <c r="D29" s="76">
        <v>1</v>
      </c>
      <c r="E29" s="78">
        <v>1</v>
      </c>
      <c r="F29" s="92">
        <f t="shared" ref="F29:F33" si="8">C$4</f>
        <v>0.15</v>
      </c>
      <c r="G29" s="81">
        <v>0.5</v>
      </c>
      <c r="H29" s="81">
        <f t="shared" si="6"/>
        <v>0</v>
      </c>
      <c r="I29" s="81">
        <v>0</v>
      </c>
      <c r="J29" s="95">
        <f t="shared" ref="J29:J33" si="9">C$4</f>
        <v>0.15</v>
      </c>
      <c r="K29" s="47">
        <f>IF(B$3='Base Cenários'!A$3,'Base Cenários'!I8,(IF(B$3='Base Cenários'!A$14,'Base Cenários'!I19,'Base Cenários'!I30)))</f>
        <v>0</v>
      </c>
      <c r="L29" s="47">
        <f t="shared" ref="L29:L33" si="10">C$4</f>
        <v>0.15</v>
      </c>
      <c r="M29" s="85">
        <v>1</v>
      </c>
      <c r="N29" s="89">
        <f>C29*D29*E29*F29</f>
        <v>0</v>
      </c>
      <c r="O29" s="89">
        <f t="shared" ref="O29:O33" si="11">IF(H29&gt;0,(H29-I29)*J29*(C29/H29)*G29,0)</f>
        <v>0</v>
      </c>
      <c r="P29" s="89">
        <f t="shared" ref="P29:P33" si="12">K29*L29</f>
        <v>0</v>
      </c>
      <c r="Q29" s="89">
        <f t="shared" ref="Q29:Q33" si="13">(N29+O29+P29)*M29</f>
        <v>0</v>
      </c>
    </row>
    <row r="30" spans="1:17">
      <c r="A30" s="8" t="s">
        <v>13</v>
      </c>
      <c r="B30" s="50">
        <f>IF(B$3='Base Cenários'!A$3,'Base Cenários'!B9,(IF(B$3='Base Cenários'!A$14,'Base Cenários'!B20,'Base Cenários'!B31)))</f>
        <v>0</v>
      </c>
      <c r="C30" s="45">
        <f t="shared" si="7"/>
        <v>0</v>
      </c>
      <c r="D30" s="76">
        <v>1</v>
      </c>
      <c r="E30" s="78">
        <v>0.85</v>
      </c>
      <c r="F30" s="92">
        <f t="shared" si="8"/>
        <v>0.15</v>
      </c>
      <c r="G30" s="81">
        <v>0.5</v>
      </c>
      <c r="H30" s="81">
        <f t="shared" si="6"/>
        <v>0</v>
      </c>
      <c r="I30" s="81">
        <v>0</v>
      </c>
      <c r="J30" s="95">
        <f t="shared" si="9"/>
        <v>0.15</v>
      </c>
      <c r="K30" s="47">
        <f>IF(B$3='Base Cenários'!A$3,'Base Cenários'!I9,(IF(B$3='Base Cenários'!A$14,'Base Cenários'!I20,'Base Cenários'!I31)))</f>
        <v>0</v>
      </c>
      <c r="L30" s="47">
        <f t="shared" si="10"/>
        <v>0.15</v>
      </c>
      <c r="M30" s="85">
        <v>1</v>
      </c>
      <c r="N30" s="89">
        <f t="shared" ref="N30:N33" si="14">C30*D30*E30*F30</f>
        <v>0</v>
      </c>
      <c r="O30" s="89">
        <f t="shared" si="11"/>
        <v>0</v>
      </c>
      <c r="P30" s="89">
        <f t="shared" si="12"/>
        <v>0</v>
      </c>
      <c r="Q30" s="89">
        <f t="shared" si="13"/>
        <v>0</v>
      </c>
    </row>
    <row r="31" spans="1:17">
      <c r="A31" s="8" t="s">
        <v>14</v>
      </c>
      <c r="B31" s="50">
        <f>IF(B$3='Base Cenários'!A$3,'Base Cenários'!B10,(IF(B$3='Base Cenários'!A$14,'Base Cenários'!B21,'Base Cenários'!B32)))</f>
        <v>1.4279999999999999</v>
      </c>
      <c r="C31" s="45">
        <f t="shared" si="7"/>
        <v>45033407.999999993</v>
      </c>
      <c r="D31" s="76">
        <v>1</v>
      </c>
      <c r="E31" s="78">
        <v>0.95</v>
      </c>
      <c r="F31" s="92">
        <f t="shared" si="8"/>
        <v>0.15</v>
      </c>
      <c r="G31" s="81">
        <v>0.5</v>
      </c>
      <c r="H31" s="81">
        <f t="shared" si="6"/>
        <v>45033407.999999993</v>
      </c>
      <c r="I31" s="81">
        <v>0</v>
      </c>
      <c r="J31" s="95">
        <f t="shared" si="9"/>
        <v>0.15</v>
      </c>
      <c r="K31" s="47">
        <f>IF(B$3='Base Cenários'!A$3,'Base Cenários'!I10,(IF(B$3='Base Cenários'!A$14,'Base Cenários'!I21,'Base Cenários'!I32)))</f>
        <v>530229.9192460269</v>
      </c>
      <c r="L31" s="47">
        <f t="shared" si="10"/>
        <v>0.15</v>
      </c>
      <c r="M31" s="85">
        <v>1</v>
      </c>
      <c r="N31" s="89">
        <f t="shared" si="14"/>
        <v>6417260.6399999987</v>
      </c>
      <c r="O31" s="89">
        <f t="shared" si="11"/>
        <v>3377505.5999999992</v>
      </c>
      <c r="P31" s="89">
        <f t="shared" si="12"/>
        <v>79534.487886904026</v>
      </c>
      <c r="Q31" s="89">
        <f t="shared" si="13"/>
        <v>9874300.7278869022</v>
      </c>
    </row>
    <row r="32" spans="1:17">
      <c r="A32" s="8" t="s">
        <v>15</v>
      </c>
      <c r="B32" s="50">
        <f>IF(B$3='Base Cenários'!A$3,'Base Cenários'!B11,(IF(B$3='Base Cenários'!A$14,'Base Cenários'!B22,'Base Cenários'!B33)))</f>
        <v>0</v>
      </c>
      <c r="C32" s="45">
        <f t="shared" si="7"/>
        <v>0</v>
      </c>
      <c r="D32" s="76">
        <v>1</v>
      </c>
      <c r="E32" s="78">
        <v>0.9</v>
      </c>
      <c r="F32" s="92">
        <f t="shared" si="8"/>
        <v>0.15</v>
      </c>
      <c r="G32" s="81">
        <v>0.5</v>
      </c>
      <c r="H32" s="81">
        <f t="shared" si="6"/>
        <v>0</v>
      </c>
      <c r="I32" s="81">
        <v>0</v>
      </c>
      <c r="J32" s="95">
        <f t="shared" si="9"/>
        <v>0.15</v>
      </c>
      <c r="K32" s="47">
        <f>IF(B$3='Base Cenários'!A$3,'Base Cenários'!I11,(IF(B$3='Base Cenários'!A$14,'Base Cenários'!I22,'Base Cenários'!I33)))</f>
        <v>0</v>
      </c>
      <c r="L32" s="47">
        <f t="shared" si="10"/>
        <v>0.15</v>
      </c>
      <c r="M32" s="85">
        <v>1</v>
      </c>
      <c r="N32" s="89">
        <f t="shared" si="14"/>
        <v>0</v>
      </c>
      <c r="O32" s="89">
        <f t="shared" si="11"/>
        <v>0</v>
      </c>
      <c r="P32" s="89">
        <f t="shared" si="12"/>
        <v>0</v>
      </c>
      <c r="Q32" s="89">
        <f t="shared" si="13"/>
        <v>0</v>
      </c>
    </row>
    <row r="33" spans="1:17" ht="12.75" thickBot="1">
      <c r="A33" s="10" t="s">
        <v>16</v>
      </c>
      <c r="B33" s="51">
        <f>IF(B$3='Base Cenários'!A$3,'Base Cenários'!B12,(IF(B$3='Base Cenários'!A$14,'Base Cenários'!B23,'Base Cenários'!B34)))</f>
        <v>0</v>
      </c>
      <c r="C33" s="51">
        <f t="shared" si="7"/>
        <v>0</v>
      </c>
      <c r="D33" s="77">
        <v>1</v>
      </c>
      <c r="E33" s="79">
        <v>1</v>
      </c>
      <c r="F33" s="93">
        <f t="shared" si="8"/>
        <v>0.15</v>
      </c>
      <c r="G33" s="82">
        <v>0.5</v>
      </c>
      <c r="H33" s="82">
        <f t="shared" si="6"/>
        <v>0</v>
      </c>
      <c r="I33" s="82">
        <v>0</v>
      </c>
      <c r="J33" s="96">
        <f t="shared" si="9"/>
        <v>0.15</v>
      </c>
      <c r="K33" s="48">
        <f>IF(B$3='Base Cenários'!A$3,'Base Cenários'!I12,(IF(B$3='Base Cenários'!A$14,'Base Cenários'!I23,'Base Cenários'!I34)))</f>
        <v>27993.599999999999</v>
      </c>
      <c r="L33" s="48">
        <f t="shared" si="10"/>
        <v>0.15</v>
      </c>
      <c r="M33" s="86">
        <v>1</v>
      </c>
      <c r="N33" s="90">
        <f t="shared" si="14"/>
        <v>0</v>
      </c>
      <c r="O33" s="90">
        <f t="shared" si="11"/>
        <v>0</v>
      </c>
      <c r="P33" s="90">
        <f t="shared" si="12"/>
        <v>4199.04</v>
      </c>
      <c r="Q33" s="90">
        <f t="shared" si="13"/>
        <v>4199.04</v>
      </c>
    </row>
    <row r="34" spans="1:17" ht="12.75" thickBot="1">
      <c r="I34" s="8"/>
      <c r="M34" s="42"/>
      <c r="P34" s="46" t="s">
        <v>40</v>
      </c>
      <c r="Q34" s="94">
        <f>SUM(Q28:Q33)</f>
        <v>9878499.7678869013</v>
      </c>
    </row>
    <row r="35" spans="1:17">
      <c r="I35" s="8"/>
      <c r="M35" s="42"/>
      <c r="P35" s="43"/>
      <c r="Q35" s="73"/>
    </row>
    <row r="36" spans="1:17">
      <c r="I36" s="8"/>
      <c r="M36" s="42"/>
      <c r="P36" s="43"/>
      <c r="Q36" s="73"/>
    </row>
    <row r="37" spans="1:17">
      <c r="I37" s="8"/>
      <c r="M37" s="42"/>
      <c r="P37" s="43"/>
      <c r="Q37" s="73"/>
    </row>
    <row r="38" spans="1:17" ht="12.75" thickBot="1">
      <c r="A38" s="10"/>
      <c r="B38" s="10"/>
      <c r="C38" s="10"/>
      <c r="D38" s="10"/>
      <c r="E38" s="10"/>
      <c r="F38" s="10"/>
      <c r="G38" s="10"/>
      <c r="H38" s="10"/>
      <c r="I38" s="10"/>
      <c r="J38" s="41"/>
      <c r="K38" s="10"/>
      <c r="L38" s="10"/>
      <c r="M38" s="41"/>
    </row>
    <row r="39" spans="1:17" ht="15.75" customHeight="1" thickBot="1">
      <c r="A39" s="157" t="s">
        <v>43</v>
      </c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</row>
    <row r="40" spans="1:17" ht="15.75" customHeight="1" thickBot="1">
      <c r="A40" s="158" t="s">
        <v>36</v>
      </c>
      <c r="B40" s="160" t="s">
        <v>37</v>
      </c>
      <c r="C40" s="160"/>
      <c r="D40" s="160"/>
      <c r="E40" s="160"/>
      <c r="F40" s="161" t="s">
        <v>86</v>
      </c>
      <c r="G40" s="161"/>
      <c r="H40" s="161"/>
      <c r="I40" s="83" t="s">
        <v>91</v>
      </c>
      <c r="J40" s="97" t="s">
        <v>101</v>
      </c>
      <c r="K40" s="163" t="s">
        <v>82</v>
      </c>
      <c r="L40" s="163"/>
      <c r="M40" s="163"/>
    </row>
    <row r="41" spans="1:17" ht="12.75" thickBot="1">
      <c r="A41" s="159"/>
      <c r="B41" s="44" t="s">
        <v>38</v>
      </c>
      <c r="C41" s="44" t="s">
        <v>87</v>
      </c>
      <c r="D41" s="44" t="s">
        <v>89</v>
      </c>
      <c r="E41" s="44" t="s">
        <v>97</v>
      </c>
      <c r="F41" s="80" t="s">
        <v>94</v>
      </c>
      <c r="G41" s="80" t="s">
        <v>95</v>
      </c>
      <c r="H41" s="80" t="s">
        <v>98</v>
      </c>
      <c r="I41" s="84" t="s">
        <v>92</v>
      </c>
      <c r="J41" s="87" t="s">
        <v>102</v>
      </c>
      <c r="K41" s="88" t="s">
        <v>83</v>
      </c>
      <c r="L41" s="88" t="s">
        <v>84</v>
      </c>
      <c r="M41" s="88" t="s">
        <v>93</v>
      </c>
    </row>
    <row r="42" spans="1:17">
      <c r="A42" s="8" t="s">
        <v>11</v>
      </c>
      <c r="B42" s="50">
        <f>IF(B$3='Base Cenários'!A$3,'Base Cenários'!C7,(IF(B$3='Base Cenários'!A$14,'Base Cenários'!C18,'Base Cenários'!C29)))</f>
        <v>0</v>
      </c>
      <c r="C42" s="45">
        <f>B42*24*60*60*365</f>
        <v>0</v>
      </c>
      <c r="D42" s="76">
        <v>1</v>
      </c>
      <c r="E42" s="92">
        <f>C$4</f>
        <v>0.15</v>
      </c>
      <c r="F42" s="81">
        <f t="shared" ref="F42:F47" si="15">C42</f>
        <v>0</v>
      </c>
      <c r="G42" s="81">
        <v>0</v>
      </c>
      <c r="H42" s="95">
        <f>C$4</f>
        <v>0.15</v>
      </c>
      <c r="I42" s="85">
        <v>1</v>
      </c>
      <c r="J42" s="98">
        <v>0.1</v>
      </c>
      <c r="K42" s="89">
        <f t="shared" ref="K42:K47" si="16">C42*D42*E42</f>
        <v>0</v>
      </c>
      <c r="L42" s="89">
        <f t="shared" ref="L42:L47" si="17">IF(F42&gt;0,(F42-G42)*H42*(C42/F42),0)</f>
        <v>0</v>
      </c>
      <c r="M42" s="89">
        <f>(K42+L42)*I42*J42</f>
        <v>0</v>
      </c>
    </row>
    <row r="43" spans="1:17">
      <c r="A43" s="8" t="s">
        <v>12</v>
      </c>
      <c r="B43" s="50">
        <f>IF(B$3='Base Cenários'!A$3,'Base Cenários'!C8,(IF(B$3='Base Cenários'!A$14,'Base Cenários'!C19,'Base Cenários'!C30)))</f>
        <v>0</v>
      </c>
      <c r="C43" s="45">
        <f t="shared" ref="C43:C47" si="18">B43*24*60*60*365</f>
        <v>0</v>
      </c>
      <c r="D43" s="76">
        <v>1</v>
      </c>
      <c r="E43" s="92">
        <f t="shared" ref="E43:E47" si="19">C$4</f>
        <v>0.15</v>
      </c>
      <c r="F43" s="81">
        <f t="shared" si="15"/>
        <v>0</v>
      </c>
      <c r="G43" s="81">
        <v>0</v>
      </c>
      <c r="H43" s="95">
        <f t="shared" ref="H43:H47" si="20">C$4</f>
        <v>0.15</v>
      </c>
      <c r="I43" s="85">
        <v>1</v>
      </c>
      <c r="J43" s="98">
        <v>0.1</v>
      </c>
      <c r="K43" s="89">
        <f t="shared" si="16"/>
        <v>0</v>
      </c>
      <c r="L43" s="89">
        <f t="shared" si="17"/>
        <v>0</v>
      </c>
      <c r="M43" s="89">
        <f t="shared" ref="M43:M47" si="21">(K43+L43)*I43*J43</f>
        <v>0</v>
      </c>
    </row>
    <row r="44" spans="1:17">
      <c r="A44" s="8" t="s">
        <v>13</v>
      </c>
      <c r="B44" s="50">
        <f>IF(B$3='Base Cenários'!A$3,'Base Cenários'!C9,(IF(B$3='Base Cenários'!A$14,'Base Cenários'!C20,'Base Cenários'!C31)))</f>
        <v>0</v>
      </c>
      <c r="C44" s="45">
        <f t="shared" si="18"/>
        <v>0</v>
      </c>
      <c r="D44" s="76">
        <v>1</v>
      </c>
      <c r="E44" s="92">
        <f t="shared" si="19"/>
        <v>0.15</v>
      </c>
      <c r="F44" s="81">
        <f t="shared" si="15"/>
        <v>0</v>
      </c>
      <c r="G44" s="81">
        <v>0</v>
      </c>
      <c r="H44" s="95">
        <f t="shared" si="20"/>
        <v>0.15</v>
      </c>
      <c r="I44" s="85">
        <v>1</v>
      </c>
      <c r="J44" s="98">
        <v>0.1</v>
      </c>
      <c r="K44" s="89">
        <f t="shared" si="16"/>
        <v>0</v>
      </c>
      <c r="L44" s="89">
        <f t="shared" si="17"/>
        <v>0</v>
      </c>
      <c r="M44" s="89">
        <f t="shared" si="21"/>
        <v>0</v>
      </c>
    </row>
    <row r="45" spans="1:17">
      <c r="A45" s="8" t="s">
        <v>14</v>
      </c>
      <c r="B45" s="50">
        <f>IF(B$3='Base Cenários'!A$3,'Base Cenários'!C10,(IF(B$3='Base Cenários'!A$14,'Base Cenários'!C21,'Base Cenários'!C32)))</f>
        <v>0</v>
      </c>
      <c r="C45" s="45">
        <f t="shared" si="18"/>
        <v>0</v>
      </c>
      <c r="D45" s="76">
        <v>1</v>
      </c>
      <c r="E45" s="92">
        <f t="shared" si="19"/>
        <v>0.15</v>
      </c>
      <c r="F45" s="81">
        <f t="shared" si="15"/>
        <v>0</v>
      </c>
      <c r="G45" s="81">
        <v>0</v>
      </c>
      <c r="H45" s="95">
        <f t="shared" si="20"/>
        <v>0.15</v>
      </c>
      <c r="I45" s="85">
        <v>1</v>
      </c>
      <c r="J45" s="98">
        <v>0.1</v>
      </c>
      <c r="K45" s="89">
        <f t="shared" si="16"/>
        <v>0</v>
      </c>
      <c r="L45" s="89">
        <f t="shared" si="17"/>
        <v>0</v>
      </c>
      <c r="M45" s="89">
        <f t="shared" si="21"/>
        <v>0</v>
      </c>
    </row>
    <row r="46" spans="1:17">
      <c r="A46" s="8" t="s">
        <v>15</v>
      </c>
      <c r="B46" s="50">
        <f>IF(B$3='Base Cenários'!A$3,'Base Cenários'!C11,(IF(B$3='Base Cenários'!A$14,'Base Cenários'!C22,'Base Cenários'!C33)))</f>
        <v>0</v>
      </c>
      <c r="C46" s="45">
        <f t="shared" si="18"/>
        <v>0</v>
      </c>
      <c r="D46" s="76">
        <v>1</v>
      </c>
      <c r="E46" s="92">
        <f t="shared" si="19"/>
        <v>0.15</v>
      </c>
      <c r="F46" s="81">
        <f t="shared" si="15"/>
        <v>0</v>
      </c>
      <c r="G46" s="81">
        <v>0</v>
      </c>
      <c r="H46" s="95">
        <f t="shared" si="20"/>
        <v>0.15</v>
      </c>
      <c r="I46" s="85">
        <v>1</v>
      </c>
      <c r="J46" s="98">
        <v>0.1</v>
      </c>
      <c r="K46" s="89">
        <f t="shared" si="16"/>
        <v>0</v>
      </c>
      <c r="L46" s="89">
        <f t="shared" si="17"/>
        <v>0</v>
      </c>
      <c r="M46" s="89">
        <f t="shared" si="21"/>
        <v>0</v>
      </c>
    </row>
    <row r="47" spans="1:17" ht="12.75" thickBot="1">
      <c r="A47" s="10" t="s">
        <v>16</v>
      </c>
      <c r="B47" s="51">
        <f>IF(B$3='Base Cenários'!A$3,'Base Cenários'!C12,(IF(B$3='Base Cenários'!A$14,'Base Cenários'!C23,'Base Cenários'!C34)))</f>
        <v>0</v>
      </c>
      <c r="C47" s="51">
        <f t="shared" si="18"/>
        <v>0</v>
      </c>
      <c r="D47" s="77">
        <v>1</v>
      </c>
      <c r="E47" s="93">
        <f t="shared" si="19"/>
        <v>0.15</v>
      </c>
      <c r="F47" s="82">
        <f t="shared" si="15"/>
        <v>0</v>
      </c>
      <c r="G47" s="82">
        <v>0</v>
      </c>
      <c r="H47" s="96">
        <f t="shared" si="20"/>
        <v>0.15</v>
      </c>
      <c r="I47" s="86">
        <v>1</v>
      </c>
      <c r="J47" s="99">
        <v>0.1</v>
      </c>
      <c r="K47" s="90">
        <f t="shared" si="16"/>
        <v>0</v>
      </c>
      <c r="L47" s="90">
        <f t="shared" si="17"/>
        <v>0</v>
      </c>
      <c r="M47" s="90">
        <f t="shared" si="21"/>
        <v>0</v>
      </c>
    </row>
    <row r="48" spans="1:17" ht="12.75" thickBot="1">
      <c r="L48" s="46" t="s">
        <v>40</v>
      </c>
      <c r="M48" s="94">
        <f>SUM(M42:M47)</f>
        <v>0</v>
      </c>
    </row>
    <row r="50" spans="1:15" ht="12.75" thickBot="1">
      <c r="A50" s="10"/>
      <c r="B50" s="10"/>
      <c r="C50" s="10"/>
      <c r="D50" s="10"/>
      <c r="E50" s="10"/>
      <c r="F50" s="10"/>
      <c r="G50" s="10"/>
      <c r="H50" s="10"/>
      <c r="I50" s="41"/>
      <c r="J50" s="41"/>
      <c r="K50" s="10"/>
      <c r="L50" s="10"/>
      <c r="M50" s="10"/>
      <c r="N50" s="10"/>
      <c r="O50" s="10"/>
    </row>
    <row r="51" spans="1:15" ht="15.75" customHeight="1" thickBot="1">
      <c r="A51" s="165" t="s">
        <v>3</v>
      </c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</row>
    <row r="52" spans="1:15" ht="15.75" customHeight="1" thickBot="1">
      <c r="A52" s="158" t="s">
        <v>36</v>
      </c>
      <c r="B52" s="75" t="s">
        <v>37</v>
      </c>
      <c r="C52" s="75"/>
      <c r="D52" s="75"/>
      <c r="E52" s="75"/>
      <c r="F52" s="164" t="s">
        <v>86</v>
      </c>
      <c r="G52" s="164"/>
      <c r="H52" s="164"/>
      <c r="I52" s="162" t="s">
        <v>88</v>
      </c>
      <c r="J52" s="162"/>
      <c r="K52" s="83" t="s">
        <v>91</v>
      </c>
      <c r="L52" s="163" t="s">
        <v>82</v>
      </c>
      <c r="M52" s="163"/>
      <c r="N52" s="163"/>
      <c r="O52" s="163"/>
    </row>
    <row r="53" spans="1:15" ht="12.75" thickBot="1">
      <c r="A53" s="159"/>
      <c r="B53" s="44" t="s">
        <v>38</v>
      </c>
      <c r="C53" s="44" t="s">
        <v>87</v>
      </c>
      <c r="D53" s="44" t="s">
        <v>89</v>
      </c>
      <c r="E53" s="44" t="s">
        <v>97</v>
      </c>
      <c r="F53" s="80" t="s">
        <v>94</v>
      </c>
      <c r="G53" s="80" t="s">
        <v>95</v>
      </c>
      <c r="H53" s="80" t="s">
        <v>98</v>
      </c>
      <c r="I53" s="91" t="s">
        <v>96</v>
      </c>
      <c r="J53" s="91" t="s">
        <v>98</v>
      </c>
      <c r="K53" s="84" t="s">
        <v>92</v>
      </c>
      <c r="L53" s="88" t="s">
        <v>83</v>
      </c>
      <c r="M53" s="88" t="s">
        <v>84</v>
      </c>
      <c r="N53" s="88" t="s">
        <v>85</v>
      </c>
      <c r="O53" s="88" t="s">
        <v>93</v>
      </c>
    </row>
    <row r="54" spans="1:15">
      <c r="A54" s="8" t="s">
        <v>11</v>
      </c>
      <c r="B54" s="50">
        <f>IF(B$3='Base Cenários'!A$3,'Base Cenários'!D7,(IF(B$3='Base Cenários'!A$14,'Base Cenários'!D18,'Base Cenários'!D29)))</f>
        <v>0</v>
      </c>
      <c r="C54" s="45">
        <f>B54*24*60*60*365</f>
        <v>0</v>
      </c>
      <c r="D54" s="76">
        <v>1</v>
      </c>
      <c r="E54" s="92">
        <f>C$4</f>
        <v>0.15</v>
      </c>
      <c r="F54" s="81">
        <f t="shared" ref="F54:F59" si="22">C54</f>
        <v>0</v>
      </c>
      <c r="G54" s="81">
        <v>0</v>
      </c>
      <c r="H54" s="95">
        <f>C$4</f>
        <v>0.15</v>
      </c>
      <c r="I54" s="47">
        <f>IF(B$3='Base Cenários'!A$3,'Base Cenários'!J7,(IF(B$3='Base Cenários'!A$14,'Base Cenários'!J18,'Base Cenários'!J29)))</f>
        <v>0</v>
      </c>
      <c r="J54" s="47">
        <f>C$4</f>
        <v>0.15</v>
      </c>
      <c r="K54" s="85">
        <v>1</v>
      </c>
      <c r="L54" s="89">
        <f>C54*D54*E54</f>
        <v>0</v>
      </c>
      <c r="M54" s="89">
        <f>IF(F54&gt;0,(F54-G54)*H54*(C54/F54),0)</f>
        <v>0</v>
      </c>
      <c r="N54" s="89">
        <f>I54*J54</f>
        <v>0</v>
      </c>
      <c r="O54" s="89">
        <f>(L54+M54+N54)*K54</f>
        <v>0</v>
      </c>
    </row>
    <row r="55" spans="1:15">
      <c r="A55" s="8" t="s">
        <v>12</v>
      </c>
      <c r="B55" s="50">
        <f>IF(B$3='Base Cenários'!A$3,'Base Cenários'!D8,(IF(B$3='Base Cenários'!A$14,'Base Cenários'!D19,'Base Cenários'!D30)))</f>
        <v>0</v>
      </c>
      <c r="C55" s="45">
        <f t="shared" ref="C55:C59" si="23">B55*24*60*60*365</f>
        <v>0</v>
      </c>
      <c r="D55" s="76">
        <v>1</v>
      </c>
      <c r="E55" s="92">
        <f t="shared" ref="E55:E59" si="24">C$4</f>
        <v>0.15</v>
      </c>
      <c r="F55" s="81">
        <f t="shared" si="22"/>
        <v>0</v>
      </c>
      <c r="G55" s="81">
        <v>0</v>
      </c>
      <c r="H55" s="95">
        <f t="shared" ref="H55:H59" si="25">C$4</f>
        <v>0.15</v>
      </c>
      <c r="I55" s="47">
        <f>IF(B$3='Base Cenários'!A$3,'Base Cenários'!J8,(IF(B$3='Base Cenários'!A$14,'Base Cenários'!J19,'Base Cenários'!J30)))</f>
        <v>0</v>
      </c>
      <c r="J55" s="47">
        <f t="shared" ref="J55:J59" si="26">C$4</f>
        <v>0.15</v>
      </c>
      <c r="K55" s="85">
        <v>1</v>
      </c>
      <c r="L55" s="89">
        <f t="shared" ref="L55:L59" si="27">C55*D55*E55</f>
        <v>0</v>
      </c>
      <c r="M55" s="89">
        <f t="shared" ref="M55:M59" si="28">IF(F55&gt;0,(F55-G55)*H55*(C55/F55),0)</f>
        <v>0</v>
      </c>
      <c r="N55" s="89">
        <f t="shared" ref="N55:N59" si="29">I55*J55</f>
        <v>0</v>
      </c>
      <c r="O55" s="89">
        <f t="shared" ref="O55:O59" si="30">(L55+M55+N55)*K55</f>
        <v>0</v>
      </c>
    </row>
    <row r="56" spans="1:15">
      <c r="A56" s="8" t="s">
        <v>13</v>
      </c>
      <c r="B56" s="50">
        <f>IF(B$3='Base Cenários'!A$3,'Base Cenários'!D9,(IF(B$3='Base Cenários'!A$14,'Base Cenários'!D20,'Base Cenários'!D31)))</f>
        <v>0</v>
      </c>
      <c r="C56" s="45">
        <f t="shared" si="23"/>
        <v>0</v>
      </c>
      <c r="D56" s="76">
        <v>1</v>
      </c>
      <c r="E56" s="92">
        <f t="shared" si="24"/>
        <v>0.15</v>
      </c>
      <c r="F56" s="81">
        <f t="shared" si="22"/>
        <v>0</v>
      </c>
      <c r="G56" s="81">
        <v>0</v>
      </c>
      <c r="H56" s="95">
        <f t="shared" si="25"/>
        <v>0.15</v>
      </c>
      <c r="I56" s="47">
        <f>IF(B$3='Base Cenários'!A$3,'Base Cenários'!J9,(IF(B$3='Base Cenários'!A$14,'Base Cenários'!J20,'Base Cenários'!J31)))</f>
        <v>0</v>
      </c>
      <c r="J56" s="47">
        <f t="shared" si="26"/>
        <v>0.15</v>
      </c>
      <c r="K56" s="85">
        <v>1</v>
      </c>
      <c r="L56" s="89">
        <f t="shared" si="27"/>
        <v>0</v>
      </c>
      <c r="M56" s="89">
        <f t="shared" si="28"/>
        <v>0</v>
      </c>
      <c r="N56" s="89">
        <f t="shared" si="29"/>
        <v>0</v>
      </c>
      <c r="O56" s="89">
        <f t="shared" si="30"/>
        <v>0</v>
      </c>
    </row>
    <row r="57" spans="1:15">
      <c r="A57" s="8" t="s">
        <v>14</v>
      </c>
      <c r="B57" s="50">
        <f>IF(B$3='Base Cenários'!A$3,'Base Cenários'!D10,(IF(B$3='Base Cenários'!A$14,'Base Cenários'!D21,'Base Cenários'!D32)))</f>
        <v>0.23543264205986808</v>
      </c>
      <c r="C57" s="45">
        <f t="shared" si="23"/>
        <v>7424603.7999999998</v>
      </c>
      <c r="D57" s="76">
        <v>1</v>
      </c>
      <c r="E57" s="92">
        <f t="shared" si="24"/>
        <v>0.15</v>
      </c>
      <c r="F57" s="81">
        <f t="shared" si="22"/>
        <v>7424603.7999999998</v>
      </c>
      <c r="G57" s="81">
        <v>0</v>
      </c>
      <c r="H57" s="95">
        <f t="shared" si="25"/>
        <v>0.15</v>
      </c>
      <c r="I57" s="47">
        <f>IF(B$3='Base Cenários'!A$3,'Base Cenários'!J10,(IF(B$3='Base Cenários'!A$14,'Base Cenários'!J21,'Base Cenários'!J32)))</f>
        <v>1205.7912986301369</v>
      </c>
      <c r="J57" s="47">
        <f t="shared" si="26"/>
        <v>0.15</v>
      </c>
      <c r="K57" s="85">
        <v>1</v>
      </c>
      <c r="L57" s="89">
        <f t="shared" si="27"/>
        <v>1113690.5699999998</v>
      </c>
      <c r="M57" s="89">
        <f t="shared" si="28"/>
        <v>1113690.5699999998</v>
      </c>
      <c r="N57" s="89">
        <f t="shared" si="29"/>
        <v>180.86869479452054</v>
      </c>
      <c r="O57" s="89">
        <f t="shared" si="30"/>
        <v>2227562.008694794</v>
      </c>
    </row>
    <row r="58" spans="1:15">
      <c r="A58" s="8" t="s">
        <v>15</v>
      </c>
      <c r="B58" s="50">
        <f>IF(B$3='Base Cenários'!A$3,'Base Cenários'!D11,(IF(B$3='Base Cenários'!A$14,'Base Cenários'!D22,'Base Cenários'!D33)))</f>
        <v>0</v>
      </c>
      <c r="C58" s="45">
        <f t="shared" si="23"/>
        <v>0</v>
      </c>
      <c r="D58" s="76">
        <v>1</v>
      </c>
      <c r="E58" s="92">
        <f t="shared" si="24"/>
        <v>0.15</v>
      </c>
      <c r="F58" s="81">
        <f t="shared" si="22"/>
        <v>0</v>
      </c>
      <c r="G58" s="81">
        <v>0</v>
      </c>
      <c r="H58" s="95">
        <f t="shared" si="25"/>
        <v>0.15</v>
      </c>
      <c r="I58" s="47">
        <f>IF(B$3='Base Cenários'!A$3,'Base Cenários'!J11,(IF(B$3='Base Cenários'!A$14,'Base Cenários'!J22,'Base Cenários'!J33)))</f>
        <v>0</v>
      </c>
      <c r="J58" s="47">
        <f t="shared" si="26"/>
        <v>0.15</v>
      </c>
      <c r="K58" s="85">
        <v>1</v>
      </c>
      <c r="L58" s="89">
        <f t="shared" si="27"/>
        <v>0</v>
      </c>
      <c r="M58" s="89">
        <f t="shared" si="28"/>
        <v>0</v>
      </c>
      <c r="N58" s="89">
        <f t="shared" si="29"/>
        <v>0</v>
      </c>
      <c r="O58" s="89">
        <f t="shared" si="30"/>
        <v>0</v>
      </c>
    </row>
    <row r="59" spans="1:15" ht="12.75" thickBot="1">
      <c r="A59" s="10" t="s">
        <v>16</v>
      </c>
      <c r="B59" s="51">
        <f>IF(B$3='Base Cenários'!A$3,'Base Cenários'!D12,(IF(B$3='Base Cenários'!A$14,'Base Cenários'!D23,'Base Cenários'!D34)))</f>
        <v>6.2572298325722976E-4</v>
      </c>
      <c r="C59" s="51">
        <f t="shared" si="23"/>
        <v>19732.799999999996</v>
      </c>
      <c r="D59" s="77">
        <v>1</v>
      </c>
      <c r="E59" s="93">
        <f t="shared" si="24"/>
        <v>0.15</v>
      </c>
      <c r="F59" s="82">
        <f t="shared" si="22"/>
        <v>19732.799999999996</v>
      </c>
      <c r="G59" s="82">
        <v>0</v>
      </c>
      <c r="H59" s="96">
        <f t="shared" si="25"/>
        <v>0.15</v>
      </c>
      <c r="I59" s="48">
        <f>IF(B$3='Base Cenários'!A$3,'Base Cenários'!J12,(IF(B$3='Base Cenários'!A$14,'Base Cenários'!J23,'Base Cenários'!J34)))</f>
        <v>0</v>
      </c>
      <c r="J59" s="48">
        <f t="shared" si="26"/>
        <v>0.15</v>
      </c>
      <c r="K59" s="86">
        <v>1</v>
      </c>
      <c r="L59" s="90">
        <f t="shared" si="27"/>
        <v>2959.9199999999992</v>
      </c>
      <c r="M59" s="90">
        <f t="shared" si="28"/>
        <v>2959.9199999999992</v>
      </c>
      <c r="N59" s="90">
        <f t="shared" si="29"/>
        <v>0</v>
      </c>
      <c r="O59" s="90">
        <f t="shared" si="30"/>
        <v>5919.8399999999983</v>
      </c>
    </row>
    <row r="60" spans="1:15" ht="12.75" thickBot="1">
      <c r="N60" s="46" t="s">
        <v>40</v>
      </c>
      <c r="O60" s="94">
        <f>SUM(O54:O59)</f>
        <v>2233481.8486947939</v>
      </c>
    </row>
    <row r="62" spans="1:15" ht="12.75" thickBot="1">
      <c r="A62" s="10"/>
      <c r="B62" s="10"/>
      <c r="C62" s="10"/>
      <c r="D62" s="10"/>
      <c r="E62" s="10"/>
      <c r="F62" s="10"/>
      <c r="G62" s="10"/>
      <c r="H62" s="10"/>
      <c r="I62" s="41"/>
      <c r="J62" s="41"/>
      <c r="K62" s="10"/>
      <c r="L62" s="10"/>
    </row>
    <row r="63" spans="1:15" ht="15.75" customHeight="1" thickBot="1">
      <c r="A63" s="165" t="s">
        <v>4</v>
      </c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</row>
    <row r="64" spans="1:15" ht="15.75" customHeight="1" thickBot="1">
      <c r="A64" s="158" t="s">
        <v>36</v>
      </c>
      <c r="B64" s="160" t="s">
        <v>37</v>
      </c>
      <c r="C64" s="160"/>
      <c r="D64" s="160"/>
      <c r="E64" s="160"/>
      <c r="F64" s="164" t="s">
        <v>86</v>
      </c>
      <c r="G64" s="164"/>
      <c r="H64" s="83" t="s">
        <v>91</v>
      </c>
      <c r="I64" s="97" t="s">
        <v>101</v>
      </c>
      <c r="J64" s="163" t="s">
        <v>82</v>
      </c>
      <c r="K64" s="163"/>
      <c r="L64" s="163"/>
    </row>
    <row r="65" spans="1:15" ht="12.75" thickBot="1">
      <c r="A65" s="159"/>
      <c r="B65" s="44" t="s">
        <v>38</v>
      </c>
      <c r="C65" s="44" t="s">
        <v>87</v>
      </c>
      <c r="D65" s="44" t="s">
        <v>89</v>
      </c>
      <c r="E65" s="44" t="s">
        <v>97</v>
      </c>
      <c r="F65" s="80" t="s">
        <v>99</v>
      </c>
      <c r="G65" s="80" t="s">
        <v>98</v>
      </c>
      <c r="H65" s="84" t="s">
        <v>92</v>
      </c>
      <c r="I65" s="87" t="s">
        <v>102</v>
      </c>
      <c r="J65" s="88" t="s">
        <v>83</v>
      </c>
      <c r="K65" s="88" t="s">
        <v>84</v>
      </c>
      <c r="L65" s="88" t="s">
        <v>93</v>
      </c>
    </row>
    <row r="66" spans="1:15">
      <c r="A66" s="8" t="s">
        <v>11</v>
      </c>
      <c r="B66" s="50">
        <f>IF(B$3='Base Cenários'!A$3,'Base Cenários'!E7,(IF(B$3='Base Cenários'!A$14,'Base Cenários'!E18,'Base Cenários'!E29)))</f>
        <v>0</v>
      </c>
      <c r="C66" s="45">
        <f>B66*24*60*60*365</f>
        <v>0</v>
      </c>
      <c r="D66" s="76">
        <v>1</v>
      </c>
      <c r="E66" s="92">
        <f>C$4</f>
        <v>0.15</v>
      </c>
      <c r="F66" s="81">
        <v>0.75</v>
      </c>
      <c r="G66" s="95">
        <f>C$4</f>
        <v>0.15</v>
      </c>
      <c r="H66" s="85">
        <v>1</v>
      </c>
      <c r="I66" s="98">
        <v>0.5</v>
      </c>
      <c r="J66" s="89">
        <f t="shared" ref="J66:J71" si="31">C66*D66*E66</f>
        <v>0</v>
      </c>
      <c r="K66" s="89">
        <f>C66*F66*G66</f>
        <v>0</v>
      </c>
      <c r="L66" s="89">
        <f>(J66+K66)*H66*I66</f>
        <v>0</v>
      </c>
    </row>
    <row r="67" spans="1:15">
      <c r="A67" s="8" t="s">
        <v>12</v>
      </c>
      <c r="B67" s="50">
        <f>IF(B$3='Base Cenários'!A$3,'Base Cenários'!E8,(IF(B$3='Base Cenários'!A$14,'Base Cenários'!E19,'Base Cenários'!E30)))</f>
        <v>0</v>
      </c>
      <c r="C67" s="45">
        <f t="shared" ref="C67:C71" si="32">B67*24*60*60*365</f>
        <v>0</v>
      </c>
      <c r="D67" s="76">
        <v>1</v>
      </c>
      <c r="E67" s="92">
        <f t="shared" ref="E67:E71" si="33">C$4</f>
        <v>0.15</v>
      </c>
      <c r="F67" s="81">
        <v>0.75</v>
      </c>
      <c r="G67" s="95">
        <f t="shared" ref="G67:G71" si="34">C$4</f>
        <v>0.15</v>
      </c>
      <c r="H67" s="85">
        <v>1</v>
      </c>
      <c r="I67" s="98">
        <v>0.5</v>
      </c>
      <c r="J67" s="89">
        <f t="shared" si="31"/>
        <v>0</v>
      </c>
      <c r="K67" s="89">
        <f t="shared" ref="K67:K71" si="35">C67*F67*G67</f>
        <v>0</v>
      </c>
      <c r="L67" s="89">
        <f t="shared" ref="L67:L71" si="36">(J67+K67)*H67*I67</f>
        <v>0</v>
      </c>
    </row>
    <row r="68" spans="1:15">
      <c r="A68" s="8" t="s">
        <v>13</v>
      </c>
      <c r="B68" s="50">
        <f>IF(B$3='Base Cenários'!A$3,'Base Cenários'!E9,(IF(B$3='Base Cenários'!A$14,'Base Cenários'!E20,'Base Cenários'!E31)))</f>
        <v>0</v>
      </c>
      <c r="C68" s="45">
        <f t="shared" si="32"/>
        <v>0</v>
      </c>
      <c r="D68" s="76">
        <v>1</v>
      </c>
      <c r="E68" s="92">
        <f t="shared" si="33"/>
        <v>0.15</v>
      </c>
      <c r="F68" s="81">
        <v>0.75</v>
      </c>
      <c r="G68" s="95">
        <f t="shared" si="34"/>
        <v>0.15</v>
      </c>
      <c r="H68" s="85">
        <v>1</v>
      </c>
      <c r="I68" s="98">
        <v>0.5</v>
      </c>
      <c r="J68" s="89">
        <f t="shared" si="31"/>
        <v>0</v>
      </c>
      <c r="K68" s="89">
        <f t="shared" si="35"/>
        <v>0</v>
      </c>
      <c r="L68" s="89">
        <f t="shared" si="36"/>
        <v>0</v>
      </c>
    </row>
    <row r="69" spans="1:15">
      <c r="A69" s="8" t="s">
        <v>14</v>
      </c>
      <c r="B69" s="50">
        <f>IF(B$3='Base Cenários'!A$3,'Base Cenários'!E10,(IF(B$3='Base Cenários'!A$14,'Base Cenários'!E21,'Base Cenários'!E32)))</f>
        <v>0</v>
      </c>
      <c r="C69" s="45">
        <f t="shared" si="32"/>
        <v>0</v>
      </c>
      <c r="D69" s="76">
        <v>1</v>
      </c>
      <c r="E69" s="92">
        <f t="shared" si="33"/>
        <v>0.15</v>
      </c>
      <c r="F69" s="81">
        <v>0.75</v>
      </c>
      <c r="G69" s="95">
        <f t="shared" si="34"/>
        <v>0.15</v>
      </c>
      <c r="H69" s="85">
        <v>1</v>
      </c>
      <c r="I69" s="98">
        <v>0.5</v>
      </c>
      <c r="J69" s="89">
        <f t="shared" si="31"/>
        <v>0</v>
      </c>
      <c r="K69" s="89">
        <f t="shared" si="35"/>
        <v>0</v>
      </c>
      <c r="L69" s="89">
        <f t="shared" si="36"/>
        <v>0</v>
      </c>
    </row>
    <row r="70" spans="1:15">
      <c r="A70" s="8" t="s">
        <v>15</v>
      </c>
      <c r="B70" s="50">
        <f>IF(B$3='Base Cenários'!A$3,'Base Cenários'!E11,(IF(B$3='Base Cenários'!A$14,'Base Cenários'!E22,'Base Cenários'!E33)))</f>
        <v>0</v>
      </c>
      <c r="C70" s="45">
        <f t="shared" si="32"/>
        <v>0</v>
      </c>
      <c r="D70" s="76">
        <v>1</v>
      </c>
      <c r="E70" s="92">
        <f t="shared" si="33"/>
        <v>0.15</v>
      </c>
      <c r="F70" s="81">
        <v>0.75</v>
      </c>
      <c r="G70" s="95">
        <f t="shared" si="34"/>
        <v>0.15</v>
      </c>
      <c r="H70" s="85">
        <v>1</v>
      </c>
      <c r="I70" s="98">
        <v>0.5</v>
      </c>
      <c r="J70" s="89">
        <f t="shared" si="31"/>
        <v>0</v>
      </c>
      <c r="K70" s="89">
        <f t="shared" si="35"/>
        <v>0</v>
      </c>
      <c r="L70" s="89">
        <f t="shared" si="36"/>
        <v>0</v>
      </c>
    </row>
    <row r="71" spans="1:15" ht="12.75" thickBot="1">
      <c r="A71" s="10" t="s">
        <v>16</v>
      </c>
      <c r="B71" s="51">
        <f>IF(B$3='Base Cenários'!A$3,'Base Cenários'!E12,(IF(B$3='Base Cenários'!A$14,'Base Cenários'!E23,'Base Cenários'!E34)))</f>
        <v>0</v>
      </c>
      <c r="C71" s="51">
        <f t="shared" si="32"/>
        <v>0</v>
      </c>
      <c r="D71" s="77">
        <v>1</v>
      </c>
      <c r="E71" s="93">
        <f t="shared" si="33"/>
        <v>0.15</v>
      </c>
      <c r="F71" s="82">
        <v>0.75</v>
      </c>
      <c r="G71" s="96">
        <f t="shared" si="34"/>
        <v>0.15</v>
      </c>
      <c r="H71" s="86">
        <v>1</v>
      </c>
      <c r="I71" s="99">
        <v>0.5</v>
      </c>
      <c r="J71" s="90">
        <f t="shared" si="31"/>
        <v>0</v>
      </c>
      <c r="K71" s="90">
        <f t="shared" si="35"/>
        <v>0</v>
      </c>
      <c r="L71" s="90">
        <f t="shared" si="36"/>
        <v>0</v>
      </c>
    </row>
    <row r="72" spans="1:15" ht="12.75" thickBot="1">
      <c r="K72" s="46" t="s">
        <v>40</v>
      </c>
      <c r="L72" s="94">
        <f>SUM(L66:L71)</f>
        <v>0</v>
      </c>
    </row>
    <row r="73" spans="1:15">
      <c r="K73" s="43"/>
      <c r="L73" s="73"/>
    </row>
    <row r="74" spans="1:15" ht="12.75" thickBot="1"/>
    <row r="75" spans="1:15" ht="12.75" thickBot="1">
      <c r="A75" s="165" t="s">
        <v>44</v>
      </c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</row>
    <row r="76" spans="1:15" ht="15.75" customHeight="1" thickBot="1">
      <c r="A76" s="158" t="s">
        <v>36</v>
      </c>
      <c r="B76" s="75" t="s">
        <v>37</v>
      </c>
      <c r="C76" s="75"/>
      <c r="D76" s="75"/>
      <c r="E76" s="75"/>
      <c r="F76" s="164" t="s">
        <v>86</v>
      </c>
      <c r="G76" s="164"/>
      <c r="H76" s="164"/>
      <c r="I76" s="162" t="s">
        <v>88</v>
      </c>
      <c r="J76" s="162"/>
      <c r="K76" s="83" t="s">
        <v>91</v>
      </c>
      <c r="L76" s="163" t="s">
        <v>82</v>
      </c>
      <c r="M76" s="163"/>
      <c r="N76" s="163"/>
      <c r="O76" s="163"/>
    </row>
    <row r="77" spans="1:15" ht="12.75" thickBot="1">
      <c r="A77" s="159"/>
      <c r="B77" s="44" t="s">
        <v>38</v>
      </c>
      <c r="C77" s="44" t="s">
        <v>87</v>
      </c>
      <c r="D77" s="44" t="s">
        <v>89</v>
      </c>
      <c r="E77" s="44" t="s">
        <v>97</v>
      </c>
      <c r="F77" s="80" t="s">
        <v>94</v>
      </c>
      <c r="G77" s="80" t="s">
        <v>95</v>
      </c>
      <c r="H77" s="80" t="s">
        <v>98</v>
      </c>
      <c r="I77" s="91" t="s">
        <v>96</v>
      </c>
      <c r="J77" s="91" t="s">
        <v>98</v>
      </c>
      <c r="K77" s="84" t="s">
        <v>92</v>
      </c>
      <c r="L77" s="88" t="s">
        <v>83</v>
      </c>
      <c r="M77" s="88" t="s">
        <v>84</v>
      </c>
      <c r="N77" s="88" t="s">
        <v>85</v>
      </c>
      <c r="O77" s="88" t="s">
        <v>93</v>
      </c>
    </row>
    <row r="78" spans="1:15">
      <c r="A78" s="8" t="s">
        <v>11</v>
      </c>
      <c r="B78" s="50">
        <f>IF(B$3='Base Cenários'!A$3,'Base Cenários'!F7,(IF(B$3='Base Cenários'!A$14,'Base Cenários'!F18,'Base Cenários'!F29)))</f>
        <v>0</v>
      </c>
      <c r="C78" s="45">
        <f>B78*24*60*60*365</f>
        <v>0</v>
      </c>
      <c r="D78" s="76">
        <v>1</v>
      </c>
      <c r="E78" s="92">
        <f>C$4</f>
        <v>0.15</v>
      </c>
      <c r="F78" s="81">
        <f t="shared" ref="F78:F83" si="37">C78</f>
        <v>0</v>
      </c>
      <c r="G78" s="81">
        <v>0</v>
      </c>
      <c r="H78" s="95">
        <f>C$4</f>
        <v>0.15</v>
      </c>
      <c r="I78" s="47">
        <f>IF(B$3='Base Cenários'!A$3,'Base Cenários'!K7,(IF(B$3='Base Cenários'!A$14,'Base Cenários'!K18,'Base Cenários'!K29)))</f>
        <v>0</v>
      </c>
      <c r="J78" s="47">
        <f>C$4</f>
        <v>0.15</v>
      </c>
      <c r="K78" s="85">
        <v>1</v>
      </c>
      <c r="L78" s="89">
        <f>C78*D78*E78</f>
        <v>0</v>
      </c>
      <c r="M78" s="89">
        <f>IF(F78&gt;0,(F78-G78)*H78*(C78/F78),0)</f>
        <v>0</v>
      </c>
      <c r="N78" s="89">
        <f>I78*J78</f>
        <v>0</v>
      </c>
      <c r="O78" s="89">
        <f>(L78+M78+N78)*K78</f>
        <v>0</v>
      </c>
    </row>
    <row r="79" spans="1:15">
      <c r="A79" s="8" t="s">
        <v>12</v>
      </c>
      <c r="B79" s="50">
        <f>IF(B$3='Base Cenários'!A$3,'Base Cenários'!F8,(IF(B$3='Base Cenários'!A$14,'Base Cenários'!F19,'Base Cenários'!F30)))</f>
        <v>0</v>
      </c>
      <c r="C79" s="45">
        <f t="shared" ref="C79:C83" si="38">B79*24*60*60*365</f>
        <v>0</v>
      </c>
      <c r="D79" s="76">
        <v>1</v>
      </c>
      <c r="E79" s="92">
        <f t="shared" ref="E79:E83" si="39">C$4</f>
        <v>0.15</v>
      </c>
      <c r="F79" s="81">
        <f t="shared" si="37"/>
        <v>0</v>
      </c>
      <c r="G79" s="81">
        <v>0</v>
      </c>
      <c r="H79" s="95">
        <f t="shared" ref="H79:H83" si="40">C$4</f>
        <v>0.15</v>
      </c>
      <c r="I79" s="47">
        <f>IF(B$3='Base Cenários'!A$3,'Base Cenários'!K8,(IF(B$3='Base Cenários'!A$14,'Base Cenários'!K19,'Base Cenários'!K30)))</f>
        <v>0</v>
      </c>
      <c r="J79" s="47">
        <f t="shared" ref="J79:J83" si="41">C$4</f>
        <v>0.15</v>
      </c>
      <c r="K79" s="85">
        <v>1</v>
      </c>
      <c r="L79" s="89">
        <f t="shared" ref="L79:L83" si="42">C79*D79*E79</f>
        <v>0</v>
      </c>
      <c r="M79" s="89">
        <f t="shared" ref="M79:M83" si="43">IF(F79&gt;0,(F79-G79)*H79*(C79/F79),0)</f>
        <v>0</v>
      </c>
      <c r="N79" s="89">
        <f t="shared" ref="N79:N83" si="44">I79*J79</f>
        <v>0</v>
      </c>
      <c r="O79" s="89">
        <f t="shared" ref="O79:O83" si="45">(L79+M79+N79)*K79</f>
        <v>0</v>
      </c>
    </row>
    <row r="80" spans="1:15">
      <c r="A80" s="8" t="s">
        <v>13</v>
      </c>
      <c r="B80" s="50">
        <f>IF(B$3='Base Cenários'!A$3,'Base Cenários'!F9,(IF(B$3='Base Cenários'!A$14,'Base Cenários'!F20,'Base Cenários'!F31)))</f>
        <v>0</v>
      </c>
      <c r="C80" s="45">
        <f t="shared" si="38"/>
        <v>0</v>
      </c>
      <c r="D80" s="76">
        <v>1</v>
      </c>
      <c r="E80" s="92">
        <f t="shared" si="39"/>
        <v>0.15</v>
      </c>
      <c r="F80" s="81">
        <f t="shared" si="37"/>
        <v>0</v>
      </c>
      <c r="G80" s="81">
        <v>0</v>
      </c>
      <c r="H80" s="95">
        <f t="shared" si="40"/>
        <v>0.15</v>
      </c>
      <c r="I80" s="47">
        <f>IF(B$3='Base Cenários'!A$3,'Base Cenários'!K9,(IF(B$3='Base Cenários'!A$14,'Base Cenários'!K20,'Base Cenários'!K31)))</f>
        <v>0</v>
      </c>
      <c r="J80" s="47">
        <f t="shared" si="41"/>
        <v>0.15</v>
      </c>
      <c r="K80" s="85">
        <v>1</v>
      </c>
      <c r="L80" s="89">
        <f t="shared" si="42"/>
        <v>0</v>
      </c>
      <c r="M80" s="89">
        <f t="shared" si="43"/>
        <v>0</v>
      </c>
      <c r="N80" s="89">
        <f t="shared" si="44"/>
        <v>0</v>
      </c>
      <c r="O80" s="89">
        <f t="shared" si="45"/>
        <v>0</v>
      </c>
    </row>
    <row r="81" spans="1:15">
      <c r="A81" s="8" t="s">
        <v>14</v>
      </c>
      <c r="B81" s="50">
        <f>IF(B$3='Base Cenários'!A$3,'Base Cenários'!F10,(IF(B$3='Base Cenários'!A$14,'Base Cenários'!F21,'Base Cenários'!F32)))</f>
        <v>1.1408401826484014</v>
      </c>
      <c r="C81" s="45">
        <f t="shared" si="38"/>
        <v>35977535.999999985</v>
      </c>
      <c r="D81" s="76">
        <v>1</v>
      </c>
      <c r="E81" s="92">
        <f t="shared" si="39"/>
        <v>0.15</v>
      </c>
      <c r="F81" s="81">
        <f t="shared" si="37"/>
        <v>35977535.999999985</v>
      </c>
      <c r="G81" s="81">
        <v>0</v>
      </c>
      <c r="H81" s="95">
        <f t="shared" si="40"/>
        <v>0.15</v>
      </c>
      <c r="I81" s="47">
        <f>IF(B$3='Base Cenários'!A$3,'Base Cenários'!K10,(IF(B$3='Base Cenários'!A$14,'Base Cenários'!K21,'Base Cenários'!K32)))</f>
        <v>290439.19872000004</v>
      </c>
      <c r="J81" s="47">
        <f t="shared" si="41"/>
        <v>0.15</v>
      </c>
      <c r="K81" s="85">
        <v>1</v>
      </c>
      <c r="L81" s="89">
        <f t="shared" si="42"/>
        <v>5396630.3999999976</v>
      </c>
      <c r="M81" s="89">
        <f t="shared" si="43"/>
        <v>5396630.3999999976</v>
      </c>
      <c r="N81" s="89">
        <f t="shared" si="44"/>
        <v>43565.879808000005</v>
      </c>
      <c r="O81" s="89">
        <f t="shared" si="45"/>
        <v>10836826.679807995</v>
      </c>
    </row>
    <row r="82" spans="1:15">
      <c r="A82" s="8" t="s">
        <v>15</v>
      </c>
      <c r="B82" s="50">
        <f>IF(B$3='Base Cenários'!A$3,'Base Cenários'!F11,(IF(B$3='Base Cenários'!A$14,'Base Cenários'!F22,'Base Cenários'!F33)))</f>
        <v>0</v>
      </c>
      <c r="C82" s="45">
        <f t="shared" si="38"/>
        <v>0</v>
      </c>
      <c r="D82" s="76">
        <v>1</v>
      </c>
      <c r="E82" s="92">
        <f t="shared" si="39"/>
        <v>0.15</v>
      </c>
      <c r="F82" s="81">
        <f t="shared" si="37"/>
        <v>0</v>
      </c>
      <c r="G82" s="81">
        <v>0</v>
      </c>
      <c r="H82" s="95">
        <f t="shared" si="40"/>
        <v>0.15</v>
      </c>
      <c r="I82" s="47">
        <f>IF(B$3='Base Cenários'!A$3,'Base Cenários'!K11,(IF(B$3='Base Cenários'!A$14,'Base Cenários'!K22,'Base Cenários'!K33)))</f>
        <v>0</v>
      </c>
      <c r="J82" s="47">
        <f t="shared" si="41"/>
        <v>0.15</v>
      </c>
      <c r="K82" s="85">
        <v>1</v>
      </c>
      <c r="L82" s="89">
        <f t="shared" si="42"/>
        <v>0</v>
      </c>
      <c r="M82" s="89">
        <f t="shared" si="43"/>
        <v>0</v>
      </c>
      <c r="N82" s="89">
        <f t="shared" si="44"/>
        <v>0</v>
      </c>
      <c r="O82" s="89">
        <f t="shared" si="45"/>
        <v>0</v>
      </c>
    </row>
    <row r="83" spans="1:15" ht="12.75" thickBot="1">
      <c r="A83" s="10" t="s">
        <v>16</v>
      </c>
      <c r="B83" s="51">
        <f>IF(B$3='Base Cenários'!A$3,'Base Cenários'!F12,(IF(B$3='Base Cenários'!A$14,'Base Cenários'!F23,'Base Cenários'!F34)))</f>
        <v>0</v>
      </c>
      <c r="C83" s="51">
        <f t="shared" si="38"/>
        <v>0</v>
      </c>
      <c r="D83" s="77">
        <v>1</v>
      </c>
      <c r="E83" s="93">
        <f t="shared" si="39"/>
        <v>0.15</v>
      </c>
      <c r="F83" s="82">
        <f t="shared" si="37"/>
        <v>0</v>
      </c>
      <c r="G83" s="82">
        <v>0</v>
      </c>
      <c r="H83" s="96">
        <f t="shared" si="40"/>
        <v>0.15</v>
      </c>
      <c r="I83" s="48">
        <f>IF(B$3='Base Cenários'!A$3,'Base Cenários'!K12,(IF(B$3='Base Cenários'!A$14,'Base Cenários'!K23,'Base Cenários'!K34)))</f>
        <v>0</v>
      </c>
      <c r="J83" s="48">
        <f t="shared" si="41"/>
        <v>0.15</v>
      </c>
      <c r="K83" s="86">
        <v>1</v>
      </c>
      <c r="L83" s="90">
        <f t="shared" si="42"/>
        <v>0</v>
      </c>
      <c r="M83" s="90">
        <f t="shared" si="43"/>
        <v>0</v>
      </c>
      <c r="N83" s="90">
        <f t="shared" si="44"/>
        <v>0</v>
      </c>
      <c r="O83" s="90">
        <f t="shared" si="45"/>
        <v>0</v>
      </c>
    </row>
    <row r="84" spans="1:15" ht="12.75" thickBot="1">
      <c r="N84" s="46" t="s">
        <v>40</v>
      </c>
      <c r="O84" s="94">
        <f>SUM(O78:O83)</f>
        <v>10836826.679807995</v>
      </c>
    </row>
  </sheetData>
  <mergeCells count="34">
    <mergeCell ref="A1:M1"/>
    <mergeCell ref="B2:I2"/>
    <mergeCell ref="A6:F6"/>
    <mergeCell ref="H6:M6"/>
    <mergeCell ref="A7:A8"/>
    <mergeCell ref="H7:H8"/>
    <mergeCell ref="B8:F8"/>
    <mergeCell ref="I8:M8"/>
    <mergeCell ref="A25:Q25"/>
    <mergeCell ref="A26:A27"/>
    <mergeCell ref="B26:F26"/>
    <mergeCell ref="G26:J26"/>
    <mergeCell ref="K26:L26"/>
    <mergeCell ref="N26:Q26"/>
    <mergeCell ref="A64:A65"/>
    <mergeCell ref="B64:E64"/>
    <mergeCell ref="F64:G64"/>
    <mergeCell ref="J64:L64"/>
    <mergeCell ref="A39:M39"/>
    <mergeCell ref="A40:A41"/>
    <mergeCell ref="B40:E40"/>
    <mergeCell ref="F40:H40"/>
    <mergeCell ref="K40:M40"/>
    <mergeCell ref="A51:O51"/>
    <mergeCell ref="A52:A53"/>
    <mergeCell ref="F52:H52"/>
    <mergeCell ref="I52:J52"/>
    <mergeCell ref="L52:O52"/>
    <mergeCell ref="A63:L63"/>
    <mergeCell ref="A75:O75"/>
    <mergeCell ref="A76:A77"/>
    <mergeCell ref="F76:H76"/>
    <mergeCell ref="I76:J76"/>
    <mergeCell ref="L76:O76"/>
  </mergeCells>
  <dataValidations count="2">
    <dataValidation type="list" allowBlank="1" showInputMessage="1" showErrorMessage="1" sqref="B3" xr:uid="{55940AE7-D6A7-4794-8698-A64E4E14DC6A}">
      <formula1>"Cenário 1,Cenário 2,Cenário 3"</formula1>
    </dataValidation>
    <dataValidation type="list" allowBlank="1" showInputMessage="1" showErrorMessage="1" sqref="B4" xr:uid="{CE246A1E-DEFB-4326-9FB6-B3292F8B2194}">
      <formula1>"PPU 1,PPU 2,PPU 3"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6EB85-9B4F-4C57-93C7-64329AF6AF9C}">
  <dimension ref="A1:Q84"/>
  <sheetViews>
    <sheetView workbookViewId="0">
      <selection activeCell="H19" sqref="H19"/>
    </sheetView>
  </sheetViews>
  <sheetFormatPr defaultColWidth="9.125" defaultRowHeight="12"/>
  <cols>
    <col min="1" max="1" width="19.75" style="8" bestFit="1" customWidth="1"/>
    <col min="2" max="2" width="16.25" style="8" bestFit="1" customWidth="1"/>
    <col min="3" max="4" width="15.25" style="8" bestFit="1" customWidth="1"/>
    <col min="5" max="5" width="12.75" style="8" bestFit="1" customWidth="1"/>
    <col min="6" max="6" width="16.125" style="8" bestFit="1" customWidth="1"/>
    <col min="7" max="7" width="12.375" style="8" customWidth="1"/>
    <col min="8" max="8" width="18" style="8" customWidth="1"/>
    <col min="9" max="9" width="15.875" style="42" bestFit="1" customWidth="1"/>
    <col min="10" max="10" width="16.125" style="42" bestFit="1" customWidth="1"/>
    <col min="11" max="11" width="13.625" style="8" bestFit="1" customWidth="1"/>
    <col min="12" max="13" width="15" style="8" bestFit="1" customWidth="1"/>
    <col min="14" max="14" width="16" style="8" bestFit="1" customWidth="1"/>
    <col min="15" max="15" width="15" style="8" bestFit="1" customWidth="1"/>
    <col min="16" max="16" width="13.625" style="8" bestFit="1" customWidth="1"/>
    <col min="17" max="17" width="15" style="8" bestFit="1" customWidth="1"/>
    <col min="18" max="16384" width="9.125" style="8"/>
  </cols>
  <sheetData>
    <row r="1" spans="1:13" ht="15.75">
      <c r="A1" s="152" t="s">
        <v>113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</row>
    <row r="2" spans="1:13">
      <c r="A2" s="38" t="s">
        <v>34</v>
      </c>
      <c r="B2" s="153" t="s">
        <v>100</v>
      </c>
      <c r="C2" s="153"/>
      <c r="D2" s="153"/>
      <c r="E2" s="153"/>
      <c r="F2" s="153"/>
      <c r="G2" s="153"/>
      <c r="H2" s="153"/>
      <c r="I2" s="153"/>
      <c r="J2" s="39"/>
    </row>
    <row r="3" spans="1:13">
      <c r="A3" s="38" t="s">
        <v>35</v>
      </c>
      <c r="B3" s="40" t="s">
        <v>71</v>
      </c>
      <c r="C3" s="40"/>
      <c r="D3" s="40"/>
      <c r="E3" s="40"/>
      <c r="F3" s="40"/>
      <c r="G3" s="40"/>
      <c r="H3" s="40"/>
      <c r="I3" s="39"/>
      <c r="J3" s="39"/>
    </row>
    <row r="4" spans="1:13">
      <c r="A4" s="38" t="s">
        <v>81</v>
      </c>
      <c r="B4" s="40" t="s">
        <v>62</v>
      </c>
      <c r="C4" s="52">
        <f>IF(B4='Base Cenários'!M2,'Base Cenários'!N2,(IF('Cenário B.2.1'!B4='Base Cenários'!M3,'Base Cenários'!N3,'Base Cenários'!N4)))</f>
        <v>6.5949999999999995E-2</v>
      </c>
      <c r="D4" s="40" t="s">
        <v>41</v>
      </c>
      <c r="E4" s="40"/>
      <c r="F4" s="40"/>
      <c r="G4" s="40"/>
      <c r="H4" s="40"/>
      <c r="I4" s="39"/>
      <c r="J4" s="39"/>
    </row>
    <row r="5" spans="1:13" ht="12.75" thickBot="1">
      <c r="A5" s="10"/>
      <c r="B5" s="10"/>
      <c r="C5" s="10"/>
      <c r="D5" s="10"/>
      <c r="E5" s="10"/>
      <c r="F5" s="10"/>
      <c r="H5" s="10"/>
      <c r="I5" s="41"/>
      <c r="J5" s="41"/>
      <c r="K5" s="10"/>
      <c r="L5" s="10"/>
      <c r="M5" s="10"/>
    </row>
    <row r="6" spans="1:13">
      <c r="A6" s="154" t="s">
        <v>46</v>
      </c>
      <c r="B6" s="154"/>
      <c r="C6" s="154"/>
      <c r="D6" s="154"/>
      <c r="E6" s="154"/>
      <c r="F6" s="154"/>
      <c r="H6" s="154" t="s">
        <v>47</v>
      </c>
      <c r="I6" s="154"/>
      <c r="J6" s="154"/>
      <c r="K6" s="154"/>
      <c r="L6" s="154"/>
      <c r="M6" s="154"/>
    </row>
    <row r="7" spans="1:13" s="11" customFormat="1">
      <c r="A7" s="155" t="s">
        <v>45</v>
      </c>
      <c r="B7" s="35" t="s">
        <v>1</v>
      </c>
      <c r="C7" s="35" t="s">
        <v>2</v>
      </c>
      <c r="D7" s="35" t="s">
        <v>3</v>
      </c>
      <c r="E7" s="35" t="s">
        <v>4</v>
      </c>
      <c r="F7" s="35" t="s">
        <v>5</v>
      </c>
      <c r="H7" s="155" t="s">
        <v>45</v>
      </c>
      <c r="I7" s="35" t="s">
        <v>1</v>
      </c>
      <c r="J7" s="35" t="s">
        <v>2</v>
      </c>
      <c r="K7" s="35" t="s">
        <v>3</v>
      </c>
      <c r="L7" s="35" t="s">
        <v>4</v>
      </c>
      <c r="M7" s="35" t="s">
        <v>5</v>
      </c>
    </row>
    <row r="8" spans="1:13">
      <c r="A8" s="156"/>
      <c r="B8" s="144" t="s">
        <v>39</v>
      </c>
      <c r="C8" s="144"/>
      <c r="D8" s="144"/>
      <c r="E8" s="144"/>
      <c r="F8" s="144"/>
      <c r="H8" s="156"/>
      <c r="I8" s="144" t="s">
        <v>48</v>
      </c>
      <c r="J8" s="144"/>
      <c r="K8" s="144"/>
      <c r="L8" s="144"/>
      <c r="M8" s="144"/>
    </row>
    <row r="9" spans="1:13">
      <c r="A9" s="8" t="s">
        <v>11</v>
      </c>
      <c r="B9" s="9">
        <f t="shared" ref="B9:B14" si="0">Q28</f>
        <v>0</v>
      </c>
      <c r="C9" s="9">
        <f>M42</f>
        <v>0</v>
      </c>
      <c r="D9" s="9">
        <f>O54</f>
        <v>0</v>
      </c>
      <c r="E9" s="9">
        <f>L66</f>
        <v>0</v>
      </c>
      <c r="F9" s="9">
        <f>O78</f>
        <v>0</v>
      </c>
      <c r="H9" s="8" t="s">
        <v>11</v>
      </c>
      <c r="I9" s="53">
        <f>IF(Renda!B20&gt;0,B9/Renda!B20,0)</f>
        <v>0</v>
      </c>
      <c r="J9" s="53">
        <f>IF(Renda!C20&gt;0,C9/Renda!C20,0)</f>
        <v>0</v>
      </c>
      <c r="K9" s="53">
        <f>IF(Renda!D20&gt;0,D9/Renda!D20,0)</f>
        <v>0</v>
      </c>
      <c r="L9" s="53">
        <f>IF(Renda!E20&gt;0,E9/Renda!E20,0)</f>
        <v>0</v>
      </c>
      <c r="M9" s="53">
        <f>IF(Renda!F20&gt;0,F9/Renda!F20,0)</f>
        <v>0</v>
      </c>
    </row>
    <row r="10" spans="1:13">
      <c r="A10" s="8" t="s">
        <v>12</v>
      </c>
      <c r="B10" s="9">
        <f t="shared" si="0"/>
        <v>8567.6330880000005</v>
      </c>
      <c r="C10" s="9">
        <f t="shared" ref="C10:C14" si="1">M43</f>
        <v>0</v>
      </c>
      <c r="D10" s="9">
        <f t="shared" ref="D10:D14" si="2">O55</f>
        <v>0</v>
      </c>
      <c r="E10" s="9">
        <f t="shared" ref="E10:E14" si="3">L67</f>
        <v>0</v>
      </c>
      <c r="F10" s="9">
        <f t="shared" ref="F10:F14" si="4">O79</f>
        <v>0</v>
      </c>
      <c r="H10" s="8" t="s">
        <v>12</v>
      </c>
      <c r="I10" s="53">
        <f>IF(Renda!B21&gt;0,B10/Renda!B21,0)</f>
        <v>5.7176477363274944E-4</v>
      </c>
      <c r="J10" s="53">
        <f>IF(Renda!C21&gt;0,C10/Renda!C21,0)</f>
        <v>0</v>
      </c>
      <c r="K10" s="53">
        <f>IF(Renda!D21&gt;0,D10/Renda!D21,0)</f>
        <v>0</v>
      </c>
      <c r="L10" s="53">
        <f>IF(Renda!E21&gt;0,E10/Renda!E21,0)</f>
        <v>0</v>
      </c>
      <c r="M10" s="53">
        <f>IF(Renda!F21&gt;0,F10/Renda!F21,0)</f>
        <v>0</v>
      </c>
    </row>
    <row r="11" spans="1:13">
      <c r="A11" s="8" t="s">
        <v>13</v>
      </c>
      <c r="B11" s="9">
        <f t="shared" si="0"/>
        <v>0</v>
      </c>
      <c r="C11" s="9">
        <f t="shared" si="1"/>
        <v>0</v>
      </c>
      <c r="D11" s="9">
        <f t="shared" si="2"/>
        <v>0</v>
      </c>
      <c r="E11" s="9">
        <f t="shared" si="3"/>
        <v>0</v>
      </c>
      <c r="F11" s="9">
        <f t="shared" si="4"/>
        <v>0</v>
      </c>
      <c r="H11" s="8" t="s">
        <v>13</v>
      </c>
      <c r="I11" s="53">
        <f>IF(Renda!B22&gt;0,B11/Renda!B22,0)</f>
        <v>0</v>
      </c>
      <c r="J11" s="53">
        <f>IF(Renda!C22&gt;0,C11/Renda!C22,0)</f>
        <v>0</v>
      </c>
      <c r="K11" s="53">
        <f>IF(Renda!D22&gt;0,D11/Renda!D22,0)</f>
        <v>0</v>
      </c>
      <c r="L11" s="53">
        <f>IF(Renda!E22&gt;0,E11/Renda!E22,0)</f>
        <v>0</v>
      </c>
      <c r="M11" s="53">
        <f>IF(Renda!F22&gt;0,F11/Renda!F22,0)</f>
        <v>0</v>
      </c>
    </row>
    <row r="12" spans="1:13">
      <c r="A12" s="8" t="s">
        <v>14</v>
      </c>
      <c r="B12" s="9">
        <f t="shared" si="0"/>
        <v>4672721.9598557139</v>
      </c>
      <c r="C12" s="9">
        <f t="shared" si="1"/>
        <v>0</v>
      </c>
      <c r="D12" s="9">
        <f t="shared" si="2"/>
        <v>1142397.1258992881</v>
      </c>
      <c r="E12" s="9">
        <f t="shared" si="3"/>
        <v>365.6268</v>
      </c>
      <c r="F12" s="9">
        <f t="shared" si="4"/>
        <v>8575078.3041726705</v>
      </c>
      <c r="H12" s="8" t="s">
        <v>14</v>
      </c>
      <c r="I12" s="53">
        <f>IF(Renda!B23&gt;0,B12/Renda!B23,0)</f>
        <v>5.4970806408850229E-2</v>
      </c>
      <c r="J12" s="53">
        <f>IF(Renda!C23&gt;0,C12/Renda!C23,0)</f>
        <v>0</v>
      </c>
      <c r="K12" s="53">
        <f>IF(Renda!D23&gt;0,D12/Renda!D23,0)</f>
        <v>1.863815233666723E-4</v>
      </c>
      <c r="L12" s="53">
        <f>IF(Renda!E23&gt;0,E12/Renda!E23,0)</f>
        <v>4.374092417291847E-6</v>
      </c>
      <c r="M12" s="53">
        <f>IF(Renda!F23&gt;0,F12/Renda!F23,0)</f>
        <v>2.9630909558136056E-3</v>
      </c>
    </row>
    <row r="13" spans="1:13">
      <c r="A13" s="8" t="s">
        <v>15</v>
      </c>
      <c r="B13" s="9">
        <f t="shared" si="0"/>
        <v>9018.7310879999986</v>
      </c>
      <c r="C13" s="9">
        <f t="shared" si="1"/>
        <v>135542.22961919996</v>
      </c>
      <c r="D13" s="9">
        <f t="shared" si="2"/>
        <v>0</v>
      </c>
      <c r="E13" s="9">
        <f t="shared" si="3"/>
        <v>378.43758750000006</v>
      </c>
      <c r="F13" s="9">
        <f t="shared" si="4"/>
        <v>0</v>
      </c>
      <c r="H13" s="8" t="s">
        <v>15</v>
      </c>
      <c r="I13" s="53">
        <f>IF(Renda!B24&gt;0,B13/Renda!B24,0)</f>
        <v>4.0661081560752921E-3</v>
      </c>
      <c r="J13" s="53">
        <f>IF(Renda!C24&gt;0,C13/Renda!C24,0)</f>
        <v>9.9265578456426973E-2</v>
      </c>
      <c r="K13" s="53">
        <f>IF(Renda!D24&gt;0,D13/Renda!D24,0)</f>
        <v>0</v>
      </c>
      <c r="L13" s="53">
        <f>IF(Renda!E24&gt;0,E13/Renda!E24,0)</f>
        <v>2.6248260092212976E-6</v>
      </c>
      <c r="M13" s="53">
        <f>IF(Renda!F24&gt;0,F13/Renda!F24,0)</f>
        <v>0</v>
      </c>
    </row>
    <row r="14" spans="1:13">
      <c r="A14" s="8" t="s">
        <v>16</v>
      </c>
      <c r="B14" s="9">
        <f t="shared" si="0"/>
        <v>126184.00348270861</v>
      </c>
      <c r="C14" s="9">
        <f t="shared" si="1"/>
        <v>0</v>
      </c>
      <c r="D14" s="9">
        <f t="shared" si="2"/>
        <v>6446.9554399999997</v>
      </c>
      <c r="E14" s="9">
        <f t="shared" si="3"/>
        <v>495.11962499999998</v>
      </c>
      <c r="F14" s="9">
        <f t="shared" si="4"/>
        <v>0</v>
      </c>
      <c r="H14" s="8" t="s">
        <v>16</v>
      </c>
      <c r="I14" s="53">
        <f>IF(Renda!B25&gt;0,B14/Renda!B25,0)</f>
        <v>2.5597940789331996E-3</v>
      </c>
      <c r="J14" s="53">
        <f>IF(Renda!C25&gt;0,C14/Renda!C25,0)</f>
        <v>0</v>
      </c>
      <c r="K14" s="53">
        <f>IF(Renda!D25&gt;0,D14/Renda!D25,0)</f>
        <v>1.3674200591655262E-6</v>
      </c>
      <c r="L14" s="53">
        <f>IF(Renda!E25&gt;0,E14/Renda!E25,0)</f>
        <v>3.1428513942610764E-5</v>
      </c>
      <c r="M14" s="53">
        <f>IF(Renda!F25&gt;0,F14/Renda!F25,0)</f>
        <v>0</v>
      </c>
    </row>
    <row r="15" spans="1:13" ht="12.75" thickBot="1">
      <c r="A15" s="36" t="s">
        <v>17</v>
      </c>
      <c r="B15" s="37">
        <f>SUM(B9:B14)</f>
        <v>4816492.3275144231</v>
      </c>
      <c r="C15" s="37">
        <f t="shared" ref="C15:E15" si="5">SUM(C9:C14)</f>
        <v>135542.22961919996</v>
      </c>
      <c r="D15" s="37">
        <f t="shared" si="5"/>
        <v>1148844.081339288</v>
      </c>
      <c r="E15" s="37">
        <f t="shared" si="5"/>
        <v>1239.1840125000001</v>
      </c>
      <c r="F15" s="37">
        <f>SUM(F9:F14)</f>
        <v>8575078.3041726705</v>
      </c>
      <c r="H15" s="36" t="s">
        <v>17</v>
      </c>
      <c r="I15" s="54">
        <f>IF(B15&gt;0,B15/Renda!B26,0)</f>
        <v>3.1469062265011803E-2</v>
      </c>
      <c r="J15" s="54">
        <f>IF(C15&gt;0,C15/Renda!C26,0)</f>
        <v>8.9673827028549799E-2</v>
      </c>
      <c r="K15" s="54">
        <f>IF(D15&gt;0,D15/Renda!D26,0)</f>
        <v>8.5818030414740033E-5</v>
      </c>
      <c r="L15" s="54">
        <f>IF(E15&gt;0,E15/Renda!E26,0)</f>
        <v>4.1753744406840862E-6</v>
      </c>
      <c r="M15" s="54">
        <f>IF(F15&gt;0,F15/Renda!F26,0)</f>
        <v>2.9630909558136056E-3</v>
      </c>
    </row>
    <row r="16" spans="1:13">
      <c r="A16" s="43"/>
      <c r="B16" s="73"/>
      <c r="C16" s="73"/>
      <c r="D16" s="73"/>
      <c r="E16" s="73"/>
      <c r="F16" s="73"/>
      <c r="H16" s="43"/>
      <c r="I16" s="74"/>
      <c r="J16" s="74"/>
      <c r="K16" s="74"/>
      <c r="L16" s="74"/>
      <c r="M16" s="74"/>
    </row>
    <row r="17" spans="1:17">
      <c r="A17" s="43"/>
      <c r="B17" s="73"/>
      <c r="C17" s="73"/>
      <c r="D17" s="73"/>
      <c r="E17" s="73"/>
      <c r="F17" s="73"/>
      <c r="H17" s="43"/>
      <c r="I17" s="74"/>
      <c r="J17" s="74"/>
      <c r="K17" s="74"/>
      <c r="L17" s="74"/>
      <c r="M17" s="74"/>
    </row>
    <row r="18" spans="1:17">
      <c r="A18" s="43" t="s">
        <v>49</v>
      </c>
      <c r="B18" s="73"/>
      <c r="C18" s="73"/>
      <c r="D18" s="73"/>
      <c r="E18" s="73"/>
      <c r="F18" s="73"/>
      <c r="H18" s="43"/>
      <c r="I18" s="74"/>
      <c r="J18" s="74"/>
      <c r="K18" s="74"/>
      <c r="L18" s="74"/>
      <c r="M18" s="74"/>
    </row>
    <row r="19" spans="1:17">
      <c r="A19" s="43"/>
      <c r="B19" s="73"/>
      <c r="C19" s="73"/>
      <c r="D19" s="73"/>
      <c r="E19" s="73"/>
      <c r="F19" s="73"/>
      <c r="H19" s="43"/>
      <c r="I19" s="74"/>
      <c r="J19" s="74"/>
      <c r="K19" s="74"/>
      <c r="L19" s="74"/>
      <c r="M19" s="74"/>
    </row>
    <row r="20" spans="1:17">
      <c r="A20" s="43"/>
      <c r="B20" s="73"/>
      <c r="C20" s="73"/>
      <c r="D20" s="73"/>
      <c r="E20" s="73"/>
      <c r="F20" s="73"/>
      <c r="H20" s="43"/>
      <c r="I20" s="74"/>
      <c r="J20" s="74"/>
      <c r="K20" s="74"/>
      <c r="L20" s="74"/>
      <c r="M20" s="74"/>
    </row>
    <row r="24" spans="1:17" ht="12.75" thickBot="1">
      <c r="A24" s="46"/>
      <c r="B24" s="10"/>
      <c r="C24" s="10"/>
      <c r="D24" s="10"/>
      <c r="E24" s="10"/>
      <c r="F24" s="10"/>
      <c r="G24" s="10"/>
      <c r="H24" s="10"/>
      <c r="I24" s="41"/>
      <c r="J24" s="41"/>
      <c r="K24" s="10"/>
      <c r="L24" s="10"/>
      <c r="M24" s="10"/>
      <c r="N24" s="10"/>
      <c r="O24" s="10"/>
      <c r="P24" s="10"/>
      <c r="Q24" s="10"/>
    </row>
    <row r="25" spans="1:17" ht="15.75" customHeight="1" thickBot="1">
      <c r="A25" s="157" t="s">
        <v>42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</row>
    <row r="26" spans="1:17" ht="36.75" customHeight="1" thickBot="1">
      <c r="A26" s="158" t="s">
        <v>36</v>
      </c>
      <c r="B26" s="160" t="s">
        <v>37</v>
      </c>
      <c r="C26" s="160"/>
      <c r="D26" s="160"/>
      <c r="E26" s="160"/>
      <c r="F26" s="160"/>
      <c r="G26" s="161" t="s">
        <v>86</v>
      </c>
      <c r="H26" s="161"/>
      <c r="I26" s="161"/>
      <c r="J26" s="161"/>
      <c r="K26" s="162" t="s">
        <v>88</v>
      </c>
      <c r="L26" s="162"/>
      <c r="M26" s="83" t="s">
        <v>91</v>
      </c>
      <c r="N26" s="163" t="s">
        <v>82</v>
      </c>
      <c r="O26" s="163"/>
      <c r="P26" s="163"/>
      <c r="Q26" s="163"/>
    </row>
    <row r="27" spans="1:17" ht="24.75" thickBot="1">
      <c r="A27" s="159"/>
      <c r="B27" s="44" t="s">
        <v>38</v>
      </c>
      <c r="C27" s="44" t="s">
        <v>87</v>
      </c>
      <c r="D27" s="44" t="s">
        <v>89</v>
      </c>
      <c r="E27" s="44" t="s">
        <v>90</v>
      </c>
      <c r="F27" s="44" t="s">
        <v>97</v>
      </c>
      <c r="G27" s="80" t="s">
        <v>99</v>
      </c>
      <c r="H27" s="80" t="s">
        <v>94</v>
      </c>
      <c r="I27" s="80" t="s">
        <v>95</v>
      </c>
      <c r="J27" s="80" t="s">
        <v>98</v>
      </c>
      <c r="K27" s="91" t="s">
        <v>96</v>
      </c>
      <c r="L27" s="91" t="s">
        <v>98</v>
      </c>
      <c r="M27" s="84" t="s">
        <v>92</v>
      </c>
      <c r="N27" s="88" t="s">
        <v>83</v>
      </c>
      <c r="O27" s="88" t="s">
        <v>84</v>
      </c>
      <c r="P27" s="88" t="s">
        <v>85</v>
      </c>
      <c r="Q27" s="88" t="s">
        <v>93</v>
      </c>
    </row>
    <row r="28" spans="1:17">
      <c r="A28" s="8" t="s">
        <v>11</v>
      </c>
      <c r="B28" s="50">
        <f>IF(B$3='Base Cenários'!A$3,'Base Cenários'!B7,(IF(B$3='Base Cenários'!A$14,'Base Cenários'!B18,'Base Cenários'!B29)))</f>
        <v>0</v>
      </c>
      <c r="C28" s="45">
        <f>B28*24*60*60*365</f>
        <v>0</v>
      </c>
      <c r="D28" s="76">
        <v>1</v>
      </c>
      <c r="E28" s="78">
        <v>1</v>
      </c>
      <c r="F28" s="92">
        <f>C$4</f>
        <v>6.5949999999999995E-2</v>
      </c>
      <c r="G28" s="81">
        <v>0.5</v>
      </c>
      <c r="H28" s="81">
        <f t="shared" ref="H28:H33" si="6">C28</f>
        <v>0</v>
      </c>
      <c r="I28" s="81">
        <v>0</v>
      </c>
      <c r="J28" s="95">
        <f>C$4</f>
        <v>6.5949999999999995E-2</v>
      </c>
      <c r="K28" s="47">
        <f>IF(B$3='Base Cenários'!A$3,'Base Cenários'!I7,(IF(B$3='Base Cenários'!A$14,'Base Cenários'!I18,'Base Cenários'!I29)))</f>
        <v>0</v>
      </c>
      <c r="L28" s="47">
        <f>C$4</f>
        <v>6.5949999999999995E-2</v>
      </c>
      <c r="M28" s="85">
        <v>1</v>
      </c>
      <c r="N28" s="89">
        <f>C28*D28*E28*F28</f>
        <v>0</v>
      </c>
      <c r="O28" s="89">
        <f>IF(H28&gt;0,(H28-I28)*J28*(C28/H28)*G28,0)</f>
        <v>0</v>
      </c>
      <c r="P28" s="89">
        <f>K28*L28</f>
        <v>0</v>
      </c>
      <c r="Q28" s="89">
        <f>(N28+O28+P28)*M28</f>
        <v>0</v>
      </c>
    </row>
    <row r="29" spans="1:17">
      <c r="A29" s="8" t="s">
        <v>12</v>
      </c>
      <c r="B29" s="50">
        <f>IF(B$3='Base Cenários'!A$3,'Base Cenários'!B8,(IF(B$3='Base Cenários'!A$14,'Base Cenários'!B19,'Base Cenários'!B30)))</f>
        <v>2.7463013698630135E-3</v>
      </c>
      <c r="C29" s="45">
        <f t="shared" ref="C29:C33" si="7">B29*24*60*60*365</f>
        <v>86607.360000000001</v>
      </c>
      <c r="D29" s="76">
        <v>1</v>
      </c>
      <c r="E29" s="78">
        <v>1</v>
      </c>
      <c r="F29" s="92">
        <f t="shared" ref="F29:F33" si="8">C$4</f>
        <v>6.5949999999999995E-2</v>
      </c>
      <c r="G29" s="81">
        <v>0.5</v>
      </c>
      <c r="H29" s="81">
        <f t="shared" si="6"/>
        <v>86607.360000000001</v>
      </c>
      <c r="I29" s="81">
        <v>0</v>
      </c>
      <c r="J29" s="95">
        <f t="shared" ref="J29:J33" si="9">C$4</f>
        <v>6.5949999999999995E-2</v>
      </c>
      <c r="K29" s="47">
        <f>IF(B$3='Base Cenários'!A$3,'Base Cenários'!I8,(IF(B$3='Base Cenários'!A$14,'Base Cenários'!I19,'Base Cenários'!I30)))</f>
        <v>0</v>
      </c>
      <c r="L29" s="47">
        <f t="shared" ref="L29:L33" si="10">C$4</f>
        <v>6.5949999999999995E-2</v>
      </c>
      <c r="M29" s="85">
        <v>1</v>
      </c>
      <c r="N29" s="89">
        <f>C29*D29*E29*F29</f>
        <v>5711.755392</v>
      </c>
      <c r="O29" s="89">
        <f t="shared" ref="O29:O33" si="11">IF(H29&gt;0,(H29-I29)*J29*(C29/H29)*G29,0)</f>
        <v>2855.877696</v>
      </c>
      <c r="P29" s="89">
        <f t="shared" ref="P29:P33" si="12">K29*L29</f>
        <v>0</v>
      </c>
      <c r="Q29" s="89">
        <f t="shared" ref="Q29:Q33" si="13">(N29+O29+P29)*M29</f>
        <v>8567.6330880000005</v>
      </c>
    </row>
    <row r="30" spans="1:17">
      <c r="A30" s="8" t="s">
        <v>13</v>
      </c>
      <c r="B30" s="50">
        <f>IF(B$3='Base Cenários'!A$3,'Base Cenários'!B9,(IF(B$3='Base Cenários'!A$14,'Base Cenários'!B20,'Base Cenários'!B31)))</f>
        <v>0</v>
      </c>
      <c r="C30" s="45">
        <f t="shared" si="7"/>
        <v>0</v>
      </c>
      <c r="D30" s="76">
        <v>1</v>
      </c>
      <c r="E30" s="78">
        <v>0.85</v>
      </c>
      <c r="F30" s="92">
        <f t="shared" si="8"/>
        <v>6.5949999999999995E-2</v>
      </c>
      <c r="G30" s="81">
        <v>0.5</v>
      </c>
      <c r="H30" s="81">
        <f t="shared" si="6"/>
        <v>0</v>
      </c>
      <c r="I30" s="81">
        <v>0</v>
      </c>
      <c r="J30" s="95">
        <f t="shared" si="9"/>
        <v>6.5949999999999995E-2</v>
      </c>
      <c r="K30" s="47">
        <f>IF(B$3='Base Cenários'!A$3,'Base Cenários'!I9,(IF(B$3='Base Cenários'!A$14,'Base Cenários'!I20,'Base Cenários'!I31)))</f>
        <v>0</v>
      </c>
      <c r="L30" s="47">
        <f t="shared" si="10"/>
        <v>6.5949999999999995E-2</v>
      </c>
      <c r="M30" s="85">
        <v>1</v>
      </c>
      <c r="N30" s="89">
        <f t="shared" ref="N30:N33" si="14">C30*D30*E30*F30</f>
        <v>0</v>
      </c>
      <c r="O30" s="89">
        <f t="shared" si="11"/>
        <v>0</v>
      </c>
      <c r="P30" s="89">
        <f t="shared" si="12"/>
        <v>0</v>
      </c>
      <c r="Q30" s="89">
        <f t="shared" si="13"/>
        <v>0</v>
      </c>
    </row>
    <row r="31" spans="1:17">
      <c r="A31" s="8" t="s">
        <v>14</v>
      </c>
      <c r="B31" s="50">
        <f>IF(B$3='Base Cenários'!A$3,'Base Cenários'!B10,(IF(B$3='Base Cenários'!A$14,'Base Cenários'!B21,'Base Cenários'!B32)))</f>
        <v>1.5378496004566211</v>
      </c>
      <c r="C31" s="45">
        <f t="shared" si="7"/>
        <v>48497625.000000007</v>
      </c>
      <c r="D31" s="76">
        <v>1</v>
      </c>
      <c r="E31" s="78">
        <v>0.95</v>
      </c>
      <c r="F31" s="92">
        <f t="shared" si="8"/>
        <v>6.5949999999999995E-2</v>
      </c>
      <c r="G31" s="81">
        <v>0.5</v>
      </c>
      <c r="H31" s="81">
        <f t="shared" si="6"/>
        <v>48497625.000000007</v>
      </c>
      <c r="I31" s="81">
        <v>0</v>
      </c>
      <c r="J31" s="95">
        <f t="shared" si="9"/>
        <v>6.5949999999999995E-2</v>
      </c>
      <c r="K31" s="47">
        <f>IF(B$3='Base Cenários'!A$3,'Base Cenários'!I10,(IF(B$3='Base Cenários'!A$14,'Base Cenários'!I21,'Base Cenários'!I32)))</f>
        <v>530937.45516624604</v>
      </c>
      <c r="L31" s="47">
        <f t="shared" si="10"/>
        <v>6.5949999999999995E-2</v>
      </c>
      <c r="M31" s="85">
        <v>1</v>
      </c>
      <c r="N31" s="89">
        <f t="shared" si="14"/>
        <v>3038497.4503125004</v>
      </c>
      <c r="O31" s="89">
        <f t="shared" si="11"/>
        <v>1599209.1843750002</v>
      </c>
      <c r="P31" s="89">
        <f t="shared" si="12"/>
        <v>35015.325168213923</v>
      </c>
      <c r="Q31" s="89">
        <f t="shared" si="13"/>
        <v>4672721.9598557139</v>
      </c>
    </row>
    <row r="32" spans="1:17">
      <c r="A32" s="8" t="s">
        <v>15</v>
      </c>
      <c r="B32" s="50">
        <f>IF(B$3='Base Cenários'!A$3,'Base Cenários'!B11,(IF(B$3='Base Cenários'!A$14,'Base Cenários'!B22,'Base Cenários'!B33)))</f>
        <v>2.5337899543378998E-3</v>
      </c>
      <c r="C32" s="45">
        <f t="shared" si="7"/>
        <v>79905.600000000006</v>
      </c>
      <c r="D32" s="76">
        <v>1</v>
      </c>
      <c r="E32" s="78">
        <v>0.9</v>
      </c>
      <c r="F32" s="92">
        <f t="shared" si="8"/>
        <v>6.5949999999999995E-2</v>
      </c>
      <c r="G32" s="81">
        <v>0.5</v>
      </c>
      <c r="H32" s="81">
        <f t="shared" si="6"/>
        <v>79905.600000000006</v>
      </c>
      <c r="I32" s="81">
        <v>0</v>
      </c>
      <c r="J32" s="95">
        <f t="shared" si="9"/>
        <v>6.5949999999999995E-2</v>
      </c>
      <c r="K32" s="47">
        <f>IF(B$3='Base Cenários'!A$3,'Base Cenários'!I11,(IF(B$3='Base Cenários'!A$14,'Base Cenários'!I22,'Base Cenários'!I33)))</f>
        <v>24883.200000000001</v>
      </c>
      <c r="L32" s="47">
        <f t="shared" si="10"/>
        <v>6.5949999999999995E-2</v>
      </c>
      <c r="M32" s="85">
        <v>1</v>
      </c>
      <c r="N32" s="89">
        <f t="shared" si="14"/>
        <v>4742.7968879999999</v>
      </c>
      <c r="O32" s="89">
        <f t="shared" si="11"/>
        <v>2634.8871599999998</v>
      </c>
      <c r="P32" s="89">
        <f t="shared" si="12"/>
        <v>1641.0470399999999</v>
      </c>
      <c r="Q32" s="89">
        <f t="shared" si="13"/>
        <v>9018.7310879999986</v>
      </c>
    </row>
    <row r="33" spans="1:17" ht="12.75" thickBot="1">
      <c r="A33" s="10" t="s">
        <v>16</v>
      </c>
      <c r="B33" s="51">
        <f>IF(B$3='Base Cenários'!A$3,'Base Cenários'!B12,(IF(B$3='Base Cenários'!A$14,'Base Cenários'!B23,'Base Cenários'!B34)))</f>
        <v>3.9222222222222193E-2</v>
      </c>
      <c r="C33" s="51">
        <f t="shared" si="7"/>
        <v>1236911.9999999991</v>
      </c>
      <c r="D33" s="77">
        <v>1</v>
      </c>
      <c r="E33" s="79">
        <v>1</v>
      </c>
      <c r="F33" s="93">
        <f t="shared" si="8"/>
        <v>6.5949999999999995E-2</v>
      </c>
      <c r="G33" s="82">
        <v>0.5</v>
      </c>
      <c r="H33" s="82">
        <f t="shared" si="6"/>
        <v>1236911.9999999991</v>
      </c>
      <c r="I33" s="82">
        <v>0</v>
      </c>
      <c r="J33" s="96">
        <f t="shared" si="9"/>
        <v>6.5949999999999995E-2</v>
      </c>
      <c r="K33" s="48">
        <f>IF(B$3='Base Cenários'!A$3,'Base Cenários'!I12,(IF(B$3='Base Cenários'!A$14,'Base Cenários'!I23,'Base Cenários'!I34)))</f>
        <v>57960.331807561641</v>
      </c>
      <c r="L33" s="48">
        <f t="shared" si="10"/>
        <v>6.5949999999999995E-2</v>
      </c>
      <c r="M33" s="86">
        <v>1</v>
      </c>
      <c r="N33" s="90">
        <f t="shared" si="14"/>
        <v>81574.346399999937</v>
      </c>
      <c r="O33" s="90">
        <f t="shared" si="11"/>
        <v>40787.173199999968</v>
      </c>
      <c r="P33" s="90">
        <f t="shared" si="12"/>
        <v>3822.4838827086901</v>
      </c>
      <c r="Q33" s="90">
        <f t="shared" si="13"/>
        <v>126184.00348270861</v>
      </c>
    </row>
    <row r="34" spans="1:17" ht="12.75" thickBot="1">
      <c r="I34" s="8"/>
      <c r="M34" s="42"/>
      <c r="P34" s="46" t="s">
        <v>40</v>
      </c>
      <c r="Q34" s="94">
        <f>SUM(Q28:Q33)</f>
        <v>4816492.3275144231</v>
      </c>
    </row>
    <row r="35" spans="1:17">
      <c r="I35" s="8"/>
      <c r="M35" s="42"/>
      <c r="P35" s="43"/>
      <c r="Q35" s="73"/>
    </row>
    <row r="36" spans="1:17">
      <c r="I36" s="8"/>
      <c r="M36" s="42"/>
      <c r="P36" s="43"/>
      <c r="Q36" s="73"/>
    </row>
    <row r="37" spans="1:17">
      <c r="I37" s="8"/>
      <c r="M37" s="42"/>
      <c r="P37" s="43"/>
      <c r="Q37" s="73"/>
    </row>
    <row r="38" spans="1:17" ht="12.75" thickBot="1">
      <c r="A38" s="10"/>
      <c r="B38" s="10"/>
      <c r="C38" s="10"/>
      <c r="D38" s="10"/>
      <c r="E38" s="10"/>
      <c r="F38" s="10"/>
      <c r="G38" s="10"/>
      <c r="H38" s="10"/>
      <c r="I38" s="10"/>
      <c r="J38" s="41"/>
      <c r="K38" s="10"/>
      <c r="L38" s="10"/>
      <c r="M38" s="41"/>
    </row>
    <row r="39" spans="1:17" ht="15.75" customHeight="1" thickBot="1">
      <c r="A39" s="157" t="s">
        <v>43</v>
      </c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</row>
    <row r="40" spans="1:17" ht="15.75" customHeight="1" thickBot="1">
      <c r="A40" s="158" t="s">
        <v>36</v>
      </c>
      <c r="B40" s="160" t="s">
        <v>37</v>
      </c>
      <c r="C40" s="160"/>
      <c r="D40" s="160"/>
      <c r="E40" s="160"/>
      <c r="F40" s="161" t="s">
        <v>86</v>
      </c>
      <c r="G40" s="161"/>
      <c r="H40" s="161"/>
      <c r="I40" s="83" t="s">
        <v>91</v>
      </c>
      <c r="J40" s="97" t="s">
        <v>101</v>
      </c>
      <c r="K40" s="163" t="s">
        <v>82</v>
      </c>
      <c r="L40" s="163"/>
      <c r="M40" s="163"/>
    </row>
    <row r="41" spans="1:17" ht="12.75" thickBot="1">
      <c r="A41" s="159"/>
      <c r="B41" s="44" t="s">
        <v>38</v>
      </c>
      <c r="C41" s="44" t="s">
        <v>87</v>
      </c>
      <c r="D41" s="44" t="s">
        <v>89</v>
      </c>
      <c r="E41" s="44" t="s">
        <v>97</v>
      </c>
      <c r="F41" s="80" t="s">
        <v>94</v>
      </c>
      <c r="G41" s="80" t="s">
        <v>95</v>
      </c>
      <c r="H41" s="80" t="s">
        <v>98</v>
      </c>
      <c r="I41" s="84" t="s">
        <v>92</v>
      </c>
      <c r="J41" s="87" t="s">
        <v>102</v>
      </c>
      <c r="K41" s="88" t="s">
        <v>83</v>
      </c>
      <c r="L41" s="88" t="s">
        <v>84</v>
      </c>
      <c r="M41" s="88" t="s">
        <v>93</v>
      </c>
    </row>
    <row r="42" spans="1:17">
      <c r="A42" s="8" t="s">
        <v>11</v>
      </c>
      <c r="B42" s="50">
        <f>IF(B$3='Base Cenários'!A$3,'Base Cenários'!C7,(IF(B$3='Base Cenários'!A$14,'Base Cenários'!C18,'Base Cenários'!C29)))</f>
        <v>0</v>
      </c>
      <c r="C42" s="45">
        <f>B42*24*60*60*365</f>
        <v>0</v>
      </c>
      <c r="D42" s="76">
        <v>1</v>
      </c>
      <c r="E42" s="92">
        <f>C$4</f>
        <v>6.5949999999999995E-2</v>
      </c>
      <c r="F42" s="81">
        <f t="shared" ref="F42:F47" si="15">C42</f>
        <v>0</v>
      </c>
      <c r="G42" s="81">
        <v>0</v>
      </c>
      <c r="H42" s="95">
        <f>C$4</f>
        <v>6.5949999999999995E-2</v>
      </c>
      <c r="I42" s="85">
        <v>1</v>
      </c>
      <c r="J42" s="98">
        <v>0.1</v>
      </c>
      <c r="K42" s="89">
        <f t="shared" ref="K42:K47" si="16">C42*D42*E42</f>
        <v>0</v>
      </c>
      <c r="L42" s="89">
        <f t="shared" ref="L42:L47" si="17">IF(F42&gt;0,(F42-G42)*H42*(C42/F42),0)</f>
        <v>0</v>
      </c>
      <c r="M42" s="89">
        <f>(K42+L42)*I42*J42</f>
        <v>0</v>
      </c>
    </row>
    <row r="43" spans="1:17">
      <c r="A43" s="8" t="s">
        <v>12</v>
      </c>
      <c r="B43" s="50">
        <f>IF(B$3='Base Cenários'!A$3,'Base Cenários'!C8,(IF(B$3='Base Cenários'!A$14,'Base Cenários'!C19,'Base Cenários'!C30)))</f>
        <v>0</v>
      </c>
      <c r="C43" s="45">
        <f t="shared" ref="C43:C47" si="18">B43*24*60*60*365</f>
        <v>0</v>
      </c>
      <c r="D43" s="76">
        <v>1</v>
      </c>
      <c r="E43" s="92">
        <f t="shared" ref="E43:E47" si="19">C$4</f>
        <v>6.5949999999999995E-2</v>
      </c>
      <c r="F43" s="81">
        <f t="shared" si="15"/>
        <v>0</v>
      </c>
      <c r="G43" s="81">
        <v>0</v>
      </c>
      <c r="H43" s="95">
        <f t="shared" ref="H43:H47" si="20">C$4</f>
        <v>6.5949999999999995E-2</v>
      </c>
      <c r="I43" s="85">
        <v>1</v>
      </c>
      <c r="J43" s="98">
        <v>0.1</v>
      </c>
      <c r="K43" s="89">
        <f t="shared" si="16"/>
        <v>0</v>
      </c>
      <c r="L43" s="89">
        <f t="shared" si="17"/>
        <v>0</v>
      </c>
      <c r="M43" s="89">
        <f t="shared" ref="M43:M47" si="21">(K43+L43)*I43*J43</f>
        <v>0</v>
      </c>
    </row>
    <row r="44" spans="1:17">
      <c r="A44" s="8" t="s">
        <v>13</v>
      </c>
      <c r="B44" s="50">
        <f>IF(B$3='Base Cenários'!A$3,'Base Cenários'!C9,(IF(B$3='Base Cenários'!A$14,'Base Cenários'!C20,'Base Cenários'!C31)))</f>
        <v>0</v>
      </c>
      <c r="C44" s="45">
        <f t="shared" si="18"/>
        <v>0</v>
      </c>
      <c r="D44" s="76">
        <v>1</v>
      </c>
      <c r="E44" s="92">
        <f t="shared" si="19"/>
        <v>6.5949999999999995E-2</v>
      </c>
      <c r="F44" s="81">
        <f t="shared" si="15"/>
        <v>0</v>
      </c>
      <c r="G44" s="81">
        <v>0</v>
      </c>
      <c r="H44" s="95">
        <f t="shared" si="20"/>
        <v>6.5949999999999995E-2</v>
      </c>
      <c r="I44" s="85">
        <v>1</v>
      </c>
      <c r="J44" s="98">
        <v>0.1</v>
      </c>
      <c r="K44" s="89">
        <f t="shared" si="16"/>
        <v>0</v>
      </c>
      <c r="L44" s="89">
        <f t="shared" si="17"/>
        <v>0</v>
      </c>
      <c r="M44" s="89">
        <f t="shared" si="21"/>
        <v>0</v>
      </c>
    </row>
    <row r="45" spans="1:17">
      <c r="A45" s="8" t="s">
        <v>14</v>
      </c>
      <c r="B45" s="50">
        <f>IF(B$3='Base Cenários'!A$3,'Base Cenários'!C10,(IF(B$3='Base Cenários'!A$14,'Base Cenários'!C21,'Base Cenários'!C32)))</f>
        <v>0</v>
      </c>
      <c r="C45" s="45">
        <f t="shared" si="18"/>
        <v>0</v>
      </c>
      <c r="D45" s="76">
        <v>1</v>
      </c>
      <c r="E45" s="92">
        <f t="shared" si="19"/>
        <v>6.5949999999999995E-2</v>
      </c>
      <c r="F45" s="81">
        <f t="shared" si="15"/>
        <v>0</v>
      </c>
      <c r="G45" s="81">
        <v>0</v>
      </c>
      <c r="H45" s="95">
        <f t="shared" si="20"/>
        <v>6.5949999999999995E-2</v>
      </c>
      <c r="I45" s="85">
        <v>1</v>
      </c>
      <c r="J45" s="98">
        <v>0.1</v>
      </c>
      <c r="K45" s="89">
        <f t="shared" si="16"/>
        <v>0</v>
      </c>
      <c r="L45" s="89">
        <f t="shared" si="17"/>
        <v>0</v>
      </c>
      <c r="M45" s="89">
        <f t="shared" si="21"/>
        <v>0</v>
      </c>
    </row>
    <row r="46" spans="1:17">
      <c r="A46" s="8" t="s">
        <v>15</v>
      </c>
      <c r="B46" s="50">
        <f>IF(B$3='Base Cenários'!A$3,'Base Cenários'!C11,(IF(B$3='Base Cenários'!A$14,'Base Cenários'!C22,'Base Cenários'!C33)))</f>
        <v>0.32585412480974124</v>
      </c>
      <c r="C46" s="45">
        <f t="shared" si="18"/>
        <v>10276135.679999998</v>
      </c>
      <c r="D46" s="76">
        <v>1</v>
      </c>
      <c r="E46" s="92">
        <f t="shared" si="19"/>
        <v>6.5949999999999995E-2</v>
      </c>
      <c r="F46" s="81">
        <f t="shared" si="15"/>
        <v>10276135.679999998</v>
      </c>
      <c r="G46" s="81">
        <v>0</v>
      </c>
      <c r="H46" s="95">
        <f t="shared" si="20"/>
        <v>6.5949999999999995E-2</v>
      </c>
      <c r="I46" s="85">
        <v>1</v>
      </c>
      <c r="J46" s="98">
        <v>0.1</v>
      </c>
      <c r="K46" s="89">
        <f t="shared" si="16"/>
        <v>677711.14809599984</v>
      </c>
      <c r="L46" s="89">
        <f t="shared" si="17"/>
        <v>677711.14809599984</v>
      </c>
      <c r="M46" s="89">
        <f t="shared" si="21"/>
        <v>135542.22961919996</v>
      </c>
    </row>
    <row r="47" spans="1:17" ht="12.75" thickBot="1">
      <c r="A47" s="10" t="s">
        <v>16</v>
      </c>
      <c r="B47" s="51">
        <f>IF(B$3='Base Cenários'!A$3,'Base Cenários'!C12,(IF(B$3='Base Cenários'!A$14,'Base Cenários'!C23,'Base Cenários'!C34)))</f>
        <v>0</v>
      </c>
      <c r="C47" s="51">
        <f t="shared" si="18"/>
        <v>0</v>
      </c>
      <c r="D47" s="77">
        <v>1</v>
      </c>
      <c r="E47" s="93">
        <f t="shared" si="19"/>
        <v>6.5949999999999995E-2</v>
      </c>
      <c r="F47" s="82">
        <f t="shared" si="15"/>
        <v>0</v>
      </c>
      <c r="G47" s="82">
        <v>0</v>
      </c>
      <c r="H47" s="96">
        <f t="shared" si="20"/>
        <v>6.5949999999999995E-2</v>
      </c>
      <c r="I47" s="86">
        <v>1</v>
      </c>
      <c r="J47" s="99">
        <v>0.1</v>
      </c>
      <c r="K47" s="90">
        <f t="shared" si="16"/>
        <v>0</v>
      </c>
      <c r="L47" s="90">
        <f t="shared" si="17"/>
        <v>0</v>
      </c>
      <c r="M47" s="90">
        <f t="shared" si="21"/>
        <v>0</v>
      </c>
    </row>
    <row r="48" spans="1:17" ht="12.75" thickBot="1">
      <c r="L48" s="46" t="s">
        <v>40</v>
      </c>
      <c r="M48" s="94">
        <f>SUM(M42:M47)</f>
        <v>135542.22961919996</v>
      </c>
    </row>
    <row r="50" spans="1:15" ht="12.75" thickBot="1">
      <c r="A50" s="10"/>
      <c r="B50" s="10"/>
      <c r="C50" s="10"/>
      <c r="D50" s="10"/>
      <c r="E50" s="10"/>
      <c r="F50" s="10"/>
      <c r="G50" s="10"/>
      <c r="H50" s="10"/>
      <c r="I50" s="41"/>
      <c r="J50" s="41"/>
      <c r="K50" s="10"/>
      <c r="L50" s="10"/>
      <c r="M50" s="10"/>
      <c r="N50" s="10"/>
      <c r="O50" s="10"/>
    </row>
    <row r="51" spans="1:15" ht="15.75" customHeight="1" thickBot="1">
      <c r="A51" s="165" t="s">
        <v>3</v>
      </c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</row>
    <row r="52" spans="1:15" ht="15.75" customHeight="1" thickBot="1">
      <c r="A52" s="158" t="s">
        <v>36</v>
      </c>
      <c r="B52" s="75" t="s">
        <v>37</v>
      </c>
      <c r="C52" s="75"/>
      <c r="D52" s="75"/>
      <c r="E52" s="75"/>
      <c r="F52" s="164" t="s">
        <v>86</v>
      </c>
      <c r="G52" s="164"/>
      <c r="H52" s="164"/>
      <c r="I52" s="162" t="s">
        <v>88</v>
      </c>
      <c r="J52" s="162"/>
      <c r="K52" s="83" t="s">
        <v>91</v>
      </c>
      <c r="L52" s="163" t="s">
        <v>82</v>
      </c>
      <c r="M52" s="163"/>
      <c r="N52" s="163"/>
      <c r="O52" s="163"/>
    </row>
    <row r="53" spans="1:15" ht="12.75" thickBot="1">
      <c r="A53" s="159"/>
      <c r="B53" s="44" t="s">
        <v>38</v>
      </c>
      <c r="C53" s="44" t="s">
        <v>87</v>
      </c>
      <c r="D53" s="44" t="s">
        <v>89</v>
      </c>
      <c r="E53" s="44" t="s">
        <v>97</v>
      </c>
      <c r="F53" s="80" t="s">
        <v>94</v>
      </c>
      <c r="G53" s="80" t="s">
        <v>95</v>
      </c>
      <c r="H53" s="80" t="s">
        <v>98</v>
      </c>
      <c r="I53" s="91" t="s">
        <v>96</v>
      </c>
      <c r="J53" s="91" t="s">
        <v>98</v>
      </c>
      <c r="K53" s="84" t="s">
        <v>92</v>
      </c>
      <c r="L53" s="88" t="s">
        <v>83</v>
      </c>
      <c r="M53" s="88" t="s">
        <v>84</v>
      </c>
      <c r="N53" s="88" t="s">
        <v>85</v>
      </c>
      <c r="O53" s="88" t="s">
        <v>93</v>
      </c>
    </row>
    <row r="54" spans="1:15">
      <c r="A54" s="8" t="s">
        <v>11</v>
      </c>
      <c r="B54" s="50">
        <f>IF(B$3='Base Cenários'!A$3,'Base Cenários'!D7,(IF(B$3='Base Cenários'!A$14,'Base Cenários'!D18,'Base Cenários'!D29)))</f>
        <v>0</v>
      </c>
      <c r="C54" s="45">
        <f>B54*24*60*60*365</f>
        <v>0</v>
      </c>
      <c r="D54" s="76">
        <v>1</v>
      </c>
      <c r="E54" s="92">
        <f>C$4</f>
        <v>6.5949999999999995E-2</v>
      </c>
      <c r="F54" s="81">
        <f t="shared" ref="F54:F59" si="22">C54</f>
        <v>0</v>
      </c>
      <c r="G54" s="81">
        <v>0</v>
      </c>
      <c r="H54" s="95">
        <f>C$4</f>
        <v>6.5949999999999995E-2</v>
      </c>
      <c r="I54" s="47">
        <f>IF(B$3='Base Cenários'!A$3,'Base Cenários'!J7,(IF(B$3='Base Cenários'!A$14,'Base Cenários'!J18,'Base Cenários'!J29)))</f>
        <v>0</v>
      </c>
      <c r="J54" s="47">
        <f>C$4</f>
        <v>6.5949999999999995E-2</v>
      </c>
      <c r="K54" s="85">
        <v>1</v>
      </c>
      <c r="L54" s="89">
        <f>C54*D54*E54</f>
        <v>0</v>
      </c>
      <c r="M54" s="89">
        <f>IF(F54&gt;0,(F54-G54)*H54*(C54/F54),0)</f>
        <v>0</v>
      </c>
      <c r="N54" s="89">
        <f>I54*J54</f>
        <v>0</v>
      </c>
      <c r="O54" s="89">
        <f>(L54+M54+N54)*K54</f>
        <v>0</v>
      </c>
    </row>
    <row r="55" spans="1:15">
      <c r="A55" s="8" t="s">
        <v>12</v>
      </c>
      <c r="B55" s="50">
        <f>IF(B$3='Base Cenários'!A$3,'Base Cenários'!D8,(IF(B$3='Base Cenários'!A$14,'Base Cenários'!D19,'Base Cenários'!D30)))</f>
        <v>0</v>
      </c>
      <c r="C55" s="45">
        <f t="shared" ref="C55:C59" si="23">B55*24*60*60*365</f>
        <v>0</v>
      </c>
      <c r="D55" s="76">
        <v>1</v>
      </c>
      <c r="E55" s="92">
        <f t="shared" ref="E55:E59" si="24">C$4</f>
        <v>6.5949999999999995E-2</v>
      </c>
      <c r="F55" s="81">
        <f t="shared" si="22"/>
        <v>0</v>
      </c>
      <c r="G55" s="81">
        <v>0</v>
      </c>
      <c r="H55" s="95">
        <f t="shared" ref="H55:H59" si="25">C$4</f>
        <v>6.5949999999999995E-2</v>
      </c>
      <c r="I55" s="47">
        <f>IF(B$3='Base Cenários'!A$3,'Base Cenários'!J8,(IF(B$3='Base Cenários'!A$14,'Base Cenários'!J19,'Base Cenários'!J30)))</f>
        <v>0</v>
      </c>
      <c r="J55" s="47">
        <f t="shared" ref="J55:J59" si="26">C$4</f>
        <v>6.5949999999999995E-2</v>
      </c>
      <c r="K55" s="85">
        <v>1</v>
      </c>
      <c r="L55" s="89">
        <f t="shared" ref="L55:L59" si="27">C55*D55*E55</f>
        <v>0</v>
      </c>
      <c r="M55" s="89">
        <f t="shared" ref="M55:M59" si="28">IF(F55&gt;0,(F55-G55)*H55*(C55/F55),0)</f>
        <v>0</v>
      </c>
      <c r="N55" s="89">
        <f t="shared" ref="N55:N59" si="29">I55*J55</f>
        <v>0</v>
      </c>
      <c r="O55" s="89">
        <f t="shared" ref="O55:O59" si="30">(L55+M55+N55)*K55</f>
        <v>0</v>
      </c>
    </row>
    <row r="56" spans="1:15">
      <c r="A56" s="8" t="s">
        <v>13</v>
      </c>
      <c r="B56" s="50">
        <f>IF(B$3='Base Cenários'!A$3,'Base Cenários'!D9,(IF(B$3='Base Cenários'!A$14,'Base Cenários'!D20,'Base Cenários'!D31)))</f>
        <v>0</v>
      </c>
      <c r="C56" s="45">
        <f t="shared" si="23"/>
        <v>0</v>
      </c>
      <c r="D56" s="76">
        <v>1</v>
      </c>
      <c r="E56" s="92">
        <f t="shared" si="24"/>
        <v>6.5949999999999995E-2</v>
      </c>
      <c r="F56" s="81">
        <f t="shared" si="22"/>
        <v>0</v>
      </c>
      <c r="G56" s="81">
        <v>0</v>
      </c>
      <c r="H56" s="95">
        <f t="shared" si="25"/>
        <v>6.5949999999999995E-2</v>
      </c>
      <c r="I56" s="47">
        <f>IF(B$3='Base Cenários'!A$3,'Base Cenários'!J9,(IF(B$3='Base Cenários'!A$14,'Base Cenários'!J20,'Base Cenários'!J31)))</f>
        <v>0</v>
      </c>
      <c r="J56" s="47">
        <f t="shared" si="26"/>
        <v>6.5949999999999995E-2</v>
      </c>
      <c r="K56" s="85">
        <v>1</v>
      </c>
      <c r="L56" s="89">
        <f t="shared" si="27"/>
        <v>0</v>
      </c>
      <c r="M56" s="89">
        <f t="shared" si="28"/>
        <v>0</v>
      </c>
      <c r="N56" s="89">
        <f t="shared" si="29"/>
        <v>0</v>
      </c>
      <c r="O56" s="89">
        <f t="shared" si="30"/>
        <v>0</v>
      </c>
    </row>
    <row r="57" spans="1:15">
      <c r="A57" s="8" t="s">
        <v>14</v>
      </c>
      <c r="B57" s="50">
        <f>IF(B$3='Base Cenários'!A$3,'Base Cenários'!D10,(IF(B$3='Base Cenários'!A$14,'Base Cenários'!D21,'Base Cenários'!D32)))</f>
        <v>0.27297475266362253</v>
      </c>
      <c r="C57" s="45">
        <f t="shared" si="23"/>
        <v>8608531.8000000007</v>
      </c>
      <c r="D57" s="76">
        <v>1</v>
      </c>
      <c r="E57" s="92">
        <f t="shared" si="24"/>
        <v>6.5949999999999995E-2</v>
      </c>
      <c r="F57" s="81">
        <f t="shared" si="22"/>
        <v>8608531.8000000007</v>
      </c>
      <c r="G57" s="81">
        <v>0</v>
      </c>
      <c r="H57" s="95">
        <f t="shared" si="25"/>
        <v>6.5949999999999995E-2</v>
      </c>
      <c r="I57" s="47">
        <f>IF(B$3='Base Cenários'!A$3,'Base Cenários'!J10,(IF(B$3='Base Cenários'!A$14,'Base Cenários'!J21,'Base Cenários'!J32)))</f>
        <v>105106.61833643838</v>
      </c>
      <c r="J57" s="47">
        <f t="shared" si="26"/>
        <v>6.5949999999999995E-2</v>
      </c>
      <c r="K57" s="85">
        <v>1</v>
      </c>
      <c r="L57" s="89">
        <f t="shared" si="27"/>
        <v>567732.67220999999</v>
      </c>
      <c r="M57" s="89">
        <f t="shared" si="28"/>
        <v>567732.67220999999</v>
      </c>
      <c r="N57" s="89">
        <f t="shared" si="29"/>
        <v>6931.7814792881099</v>
      </c>
      <c r="O57" s="89">
        <f t="shared" si="30"/>
        <v>1142397.1258992881</v>
      </c>
    </row>
    <row r="58" spans="1:15">
      <c r="A58" s="8" t="s">
        <v>15</v>
      </c>
      <c r="B58" s="50">
        <f>IF(B$3='Base Cenários'!A$3,'Base Cenários'!D11,(IF(B$3='Base Cenários'!A$14,'Base Cenários'!D22,'Base Cenários'!D33)))</f>
        <v>0</v>
      </c>
      <c r="C58" s="45">
        <f t="shared" si="23"/>
        <v>0</v>
      </c>
      <c r="D58" s="76">
        <v>1</v>
      </c>
      <c r="E58" s="92">
        <f t="shared" si="24"/>
        <v>6.5949999999999995E-2</v>
      </c>
      <c r="F58" s="81">
        <f t="shared" si="22"/>
        <v>0</v>
      </c>
      <c r="G58" s="81">
        <v>0</v>
      </c>
      <c r="H58" s="95">
        <f t="shared" si="25"/>
        <v>6.5949999999999995E-2</v>
      </c>
      <c r="I58" s="47">
        <f>IF(B$3='Base Cenários'!A$3,'Base Cenários'!J11,(IF(B$3='Base Cenários'!A$14,'Base Cenários'!J22,'Base Cenários'!J33)))</f>
        <v>0</v>
      </c>
      <c r="J58" s="47">
        <f t="shared" si="26"/>
        <v>6.5949999999999995E-2</v>
      </c>
      <c r="K58" s="85">
        <v>1</v>
      </c>
      <c r="L58" s="89">
        <f t="shared" si="27"/>
        <v>0</v>
      </c>
      <c r="M58" s="89">
        <f t="shared" si="28"/>
        <v>0</v>
      </c>
      <c r="N58" s="89">
        <f t="shared" si="29"/>
        <v>0</v>
      </c>
      <c r="O58" s="89">
        <f t="shared" si="30"/>
        <v>0</v>
      </c>
    </row>
    <row r="59" spans="1:15" ht="12.75" thickBot="1">
      <c r="A59" s="10" t="s">
        <v>16</v>
      </c>
      <c r="B59" s="51">
        <f>IF(B$3='Base Cenários'!A$3,'Base Cenários'!D12,(IF(B$3='Base Cenários'!A$14,'Base Cenários'!D23,'Base Cenários'!D34)))</f>
        <v>1.5498985286656519E-3</v>
      </c>
      <c r="C59" s="51">
        <f t="shared" si="23"/>
        <v>48877.599999999999</v>
      </c>
      <c r="D59" s="77">
        <v>1</v>
      </c>
      <c r="E59" s="93">
        <f t="shared" si="24"/>
        <v>6.5949999999999995E-2</v>
      </c>
      <c r="F59" s="82">
        <f t="shared" si="22"/>
        <v>48877.599999999999</v>
      </c>
      <c r="G59" s="82">
        <v>0</v>
      </c>
      <c r="H59" s="96">
        <f t="shared" si="25"/>
        <v>6.5949999999999995E-2</v>
      </c>
      <c r="I59" s="48">
        <f>IF(B$3='Base Cenários'!A$3,'Base Cenários'!J12,(IF(B$3='Base Cenários'!A$14,'Base Cenários'!J23,'Base Cenários'!J34)))</f>
        <v>0</v>
      </c>
      <c r="J59" s="48">
        <f t="shared" si="26"/>
        <v>6.5949999999999995E-2</v>
      </c>
      <c r="K59" s="86">
        <v>1</v>
      </c>
      <c r="L59" s="90">
        <f t="shared" si="27"/>
        <v>3223.4777199999999</v>
      </c>
      <c r="M59" s="90">
        <f t="shared" si="28"/>
        <v>3223.4777199999999</v>
      </c>
      <c r="N59" s="90">
        <f t="shared" si="29"/>
        <v>0</v>
      </c>
      <c r="O59" s="90">
        <f t="shared" si="30"/>
        <v>6446.9554399999997</v>
      </c>
    </row>
    <row r="60" spans="1:15" ht="12.75" thickBot="1">
      <c r="N60" s="46" t="s">
        <v>40</v>
      </c>
      <c r="O60" s="94">
        <f>SUM(O54:O59)</f>
        <v>1148844.081339288</v>
      </c>
    </row>
    <row r="62" spans="1:15" ht="12.75" thickBot="1">
      <c r="A62" s="10"/>
      <c r="B62" s="10"/>
      <c r="C62" s="10"/>
      <c r="D62" s="10"/>
      <c r="E62" s="10"/>
      <c r="F62" s="10"/>
      <c r="G62" s="10"/>
      <c r="H62" s="10"/>
      <c r="I62" s="41"/>
      <c r="J62" s="41"/>
      <c r="K62" s="10"/>
      <c r="L62" s="10"/>
    </row>
    <row r="63" spans="1:15" ht="15.75" customHeight="1" thickBot="1">
      <c r="A63" s="165" t="s">
        <v>4</v>
      </c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</row>
    <row r="64" spans="1:15" ht="15.75" customHeight="1" thickBot="1">
      <c r="A64" s="158" t="s">
        <v>36</v>
      </c>
      <c r="B64" s="160" t="s">
        <v>37</v>
      </c>
      <c r="C64" s="160"/>
      <c r="D64" s="160"/>
      <c r="E64" s="160"/>
      <c r="F64" s="164" t="s">
        <v>86</v>
      </c>
      <c r="G64" s="164"/>
      <c r="H64" s="83" t="s">
        <v>91</v>
      </c>
      <c r="I64" s="97" t="s">
        <v>101</v>
      </c>
      <c r="J64" s="163" t="s">
        <v>82</v>
      </c>
      <c r="K64" s="163"/>
      <c r="L64" s="163"/>
    </row>
    <row r="65" spans="1:15" ht="12.75" thickBot="1">
      <c r="A65" s="159"/>
      <c r="B65" s="44" t="s">
        <v>38</v>
      </c>
      <c r="C65" s="44" t="s">
        <v>87</v>
      </c>
      <c r="D65" s="44" t="s">
        <v>89</v>
      </c>
      <c r="E65" s="44" t="s">
        <v>97</v>
      </c>
      <c r="F65" s="80" t="s">
        <v>99</v>
      </c>
      <c r="G65" s="80" t="s">
        <v>98</v>
      </c>
      <c r="H65" s="84" t="s">
        <v>92</v>
      </c>
      <c r="I65" s="87" t="s">
        <v>102</v>
      </c>
      <c r="J65" s="88" t="s">
        <v>83</v>
      </c>
      <c r="K65" s="88" t="s">
        <v>84</v>
      </c>
      <c r="L65" s="88" t="s">
        <v>93</v>
      </c>
    </row>
    <row r="66" spans="1:15">
      <c r="A66" s="8" t="s">
        <v>11</v>
      </c>
      <c r="B66" s="50">
        <f>IF(B$3='Base Cenários'!A$3,'Base Cenários'!E7,(IF(B$3='Base Cenários'!A$14,'Base Cenários'!E18,'Base Cenários'!E29)))</f>
        <v>0</v>
      </c>
      <c r="C66" s="45">
        <f>B66*24*60*60*365</f>
        <v>0</v>
      </c>
      <c r="D66" s="76">
        <v>1</v>
      </c>
      <c r="E66" s="92">
        <f>C$4</f>
        <v>6.5949999999999995E-2</v>
      </c>
      <c r="F66" s="81">
        <v>0.75</v>
      </c>
      <c r="G66" s="95">
        <f>C$4</f>
        <v>6.5949999999999995E-2</v>
      </c>
      <c r="H66" s="85">
        <v>1</v>
      </c>
      <c r="I66" s="98">
        <v>0.5</v>
      </c>
      <c r="J66" s="89">
        <f t="shared" ref="J66:J71" si="31">C66*D66*E66</f>
        <v>0</v>
      </c>
      <c r="K66" s="89">
        <f>C66*F66*G66</f>
        <v>0</v>
      </c>
      <c r="L66" s="89">
        <f>(J66+K66)*H66*I66</f>
        <v>0</v>
      </c>
    </row>
    <row r="67" spans="1:15">
      <c r="A67" s="8" t="s">
        <v>12</v>
      </c>
      <c r="B67" s="50">
        <f>IF(B$3='Base Cenários'!A$3,'Base Cenários'!E8,(IF(B$3='Base Cenários'!A$14,'Base Cenários'!E19,'Base Cenários'!E30)))</f>
        <v>0</v>
      </c>
      <c r="C67" s="45">
        <f t="shared" ref="C67:C71" si="32">B67*24*60*60*365</f>
        <v>0</v>
      </c>
      <c r="D67" s="76">
        <v>1</v>
      </c>
      <c r="E67" s="92">
        <f t="shared" ref="E67:E71" si="33">C$4</f>
        <v>6.5949999999999995E-2</v>
      </c>
      <c r="F67" s="81">
        <v>0.75</v>
      </c>
      <c r="G67" s="95">
        <f t="shared" ref="G67:G71" si="34">C$4</f>
        <v>6.5949999999999995E-2</v>
      </c>
      <c r="H67" s="85">
        <v>1</v>
      </c>
      <c r="I67" s="98">
        <v>0.5</v>
      </c>
      <c r="J67" s="89">
        <f t="shared" si="31"/>
        <v>0</v>
      </c>
      <c r="K67" s="89">
        <f t="shared" ref="K67:K71" si="35">C67*F67*G67</f>
        <v>0</v>
      </c>
      <c r="L67" s="89">
        <f t="shared" ref="L67:L71" si="36">(J67+K67)*H67*I67</f>
        <v>0</v>
      </c>
    </row>
    <row r="68" spans="1:15">
      <c r="A68" s="8" t="s">
        <v>13</v>
      </c>
      <c r="B68" s="50">
        <f>IF(B$3='Base Cenários'!A$3,'Base Cenários'!E9,(IF(B$3='Base Cenários'!A$14,'Base Cenários'!E20,'Base Cenários'!E31)))</f>
        <v>0</v>
      </c>
      <c r="C68" s="45">
        <f t="shared" si="32"/>
        <v>0</v>
      </c>
      <c r="D68" s="76">
        <v>1</v>
      </c>
      <c r="E68" s="92">
        <f t="shared" si="33"/>
        <v>6.5949999999999995E-2</v>
      </c>
      <c r="F68" s="81">
        <v>0.75</v>
      </c>
      <c r="G68" s="95">
        <f t="shared" si="34"/>
        <v>6.5949999999999995E-2</v>
      </c>
      <c r="H68" s="85">
        <v>1</v>
      </c>
      <c r="I68" s="98">
        <v>0.5</v>
      </c>
      <c r="J68" s="89">
        <f t="shared" si="31"/>
        <v>0</v>
      </c>
      <c r="K68" s="89">
        <f t="shared" si="35"/>
        <v>0</v>
      </c>
      <c r="L68" s="89">
        <f t="shared" si="36"/>
        <v>0</v>
      </c>
    </row>
    <row r="69" spans="1:15">
      <c r="A69" s="8" t="s">
        <v>14</v>
      </c>
      <c r="B69" s="50">
        <f>IF(B$3='Base Cenários'!A$3,'Base Cenários'!E10,(IF(B$3='Base Cenários'!A$14,'Base Cenários'!E21,'Base Cenários'!E32)))</f>
        <v>2.0091324200913243E-4</v>
      </c>
      <c r="C69" s="45">
        <f t="shared" si="32"/>
        <v>6336</v>
      </c>
      <c r="D69" s="76">
        <v>1</v>
      </c>
      <c r="E69" s="92">
        <f t="shared" si="33"/>
        <v>6.5949999999999995E-2</v>
      </c>
      <c r="F69" s="81">
        <v>0.75</v>
      </c>
      <c r="G69" s="95">
        <f t="shared" si="34"/>
        <v>6.5949999999999995E-2</v>
      </c>
      <c r="H69" s="85">
        <v>1</v>
      </c>
      <c r="I69" s="98">
        <v>0.5</v>
      </c>
      <c r="J69" s="89">
        <f t="shared" si="31"/>
        <v>417.85919999999999</v>
      </c>
      <c r="K69" s="89">
        <f t="shared" si="35"/>
        <v>313.39439999999996</v>
      </c>
      <c r="L69" s="89">
        <f t="shared" si="36"/>
        <v>365.6268</v>
      </c>
    </row>
    <row r="70" spans="1:15">
      <c r="A70" s="8" t="s">
        <v>15</v>
      </c>
      <c r="B70" s="50">
        <f>IF(B$3='Base Cenários'!A$3,'Base Cenários'!E11,(IF(B$3='Base Cenários'!A$14,'Base Cenários'!E22,'Base Cenários'!E33)))</f>
        <v>2.0795281582952816E-4</v>
      </c>
      <c r="C70" s="45">
        <f t="shared" si="32"/>
        <v>6558.0000000000009</v>
      </c>
      <c r="D70" s="76">
        <v>1</v>
      </c>
      <c r="E70" s="92">
        <f t="shared" si="33"/>
        <v>6.5949999999999995E-2</v>
      </c>
      <c r="F70" s="81">
        <v>0.75</v>
      </c>
      <c r="G70" s="95">
        <f t="shared" si="34"/>
        <v>6.5949999999999995E-2</v>
      </c>
      <c r="H70" s="85">
        <v>1</v>
      </c>
      <c r="I70" s="98">
        <v>0.5</v>
      </c>
      <c r="J70" s="89">
        <f t="shared" si="31"/>
        <v>432.50010000000003</v>
      </c>
      <c r="K70" s="89">
        <f t="shared" si="35"/>
        <v>324.37507500000004</v>
      </c>
      <c r="L70" s="89">
        <f t="shared" si="36"/>
        <v>378.43758750000006</v>
      </c>
    </row>
    <row r="71" spans="1:15" ht="12.75" thickBot="1">
      <c r="A71" s="10" t="s">
        <v>16</v>
      </c>
      <c r="B71" s="51">
        <f>IF(B$3='Base Cenários'!A$3,'Base Cenários'!E12,(IF(B$3='Base Cenários'!A$14,'Base Cenários'!E23,'Base Cenários'!E34)))</f>
        <v>2.7207001522070015E-4</v>
      </c>
      <c r="C71" s="51">
        <f t="shared" si="32"/>
        <v>8580</v>
      </c>
      <c r="D71" s="77">
        <v>1</v>
      </c>
      <c r="E71" s="93">
        <f t="shared" si="33"/>
        <v>6.5949999999999995E-2</v>
      </c>
      <c r="F71" s="82">
        <v>0.75</v>
      </c>
      <c r="G71" s="96">
        <f t="shared" si="34"/>
        <v>6.5949999999999995E-2</v>
      </c>
      <c r="H71" s="86">
        <v>1</v>
      </c>
      <c r="I71" s="99">
        <v>0.5</v>
      </c>
      <c r="J71" s="90">
        <f t="shared" si="31"/>
        <v>565.851</v>
      </c>
      <c r="K71" s="90">
        <f t="shared" si="35"/>
        <v>424.38824999999997</v>
      </c>
      <c r="L71" s="90">
        <f t="shared" si="36"/>
        <v>495.11962499999998</v>
      </c>
    </row>
    <row r="72" spans="1:15" ht="12.75" thickBot="1">
      <c r="K72" s="46" t="s">
        <v>40</v>
      </c>
      <c r="L72" s="94">
        <f>SUM(L66:L71)</f>
        <v>1239.1840125000001</v>
      </c>
    </row>
    <row r="73" spans="1:15">
      <c r="K73" s="43"/>
      <c r="L73" s="73"/>
    </row>
    <row r="74" spans="1:15" ht="12.75" thickBot="1"/>
    <row r="75" spans="1:15" ht="12.75" thickBot="1">
      <c r="A75" s="165" t="s">
        <v>44</v>
      </c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</row>
    <row r="76" spans="1:15" ht="15.75" customHeight="1" thickBot="1">
      <c r="A76" s="158" t="s">
        <v>36</v>
      </c>
      <c r="B76" s="75" t="s">
        <v>37</v>
      </c>
      <c r="C76" s="75"/>
      <c r="D76" s="75"/>
      <c r="E76" s="75"/>
      <c r="F76" s="164" t="s">
        <v>86</v>
      </c>
      <c r="G76" s="164"/>
      <c r="H76" s="164"/>
      <c r="I76" s="162" t="s">
        <v>88</v>
      </c>
      <c r="J76" s="162"/>
      <c r="K76" s="83" t="s">
        <v>91</v>
      </c>
      <c r="L76" s="163" t="s">
        <v>82</v>
      </c>
      <c r="M76" s="163"/>
      <c r="N76" s="163"/>
      <c r="O76" s="163"/>
    </row>
    <row r="77" spans="1:15" ht="12.75" thickBot="1">
      <c r="A77" s="159"/>
      <c r="B77" s="44" t="s">
        <v>38</v>
      </c>
      <c r="C77" s="44" t="s">
        <v>87</v>
      </c>
      <c r="D77" s="44" t="s">
        <v>89</v>
      </c>
      <c r="E77" s="44" t="s">
        <v>97</v>
      </c>
      <c r="F77" s="80" t="s">
        <v>94</v>
      </c>
      <c r="G77" s="80" t="s">
        <v>95</v>
      </c>
      <c r="H77" s="80" t="s">
        <v>98</v>
      </c>
      <c r="I77" s="91" t="s">
        <v>96</v>
      </c>
      <c r="J77" s="91" t="s">
        <v>98</v>
      </c>
      <c r="K77" s="84" t="s">
        <v>92</v>
      </c>
      <c r="L77" s="88" t="s">
        <v>83</v>
      </c>
      <c r="M77" s="88" t="s">
        <v>84</v>
      </c>
      <c r="N77" s="88" t="s">
        <v>85</v>
      </c>
      <c r="O77" s="88" t="s">
        <v>93</v>
      </c>
    </row>
    <row r="78" spans="1:15">
      <c r="A78" s="8" t="s">
        <v>11</v>
      </c>
      <c r="B78" s="50">
        <f>IF(B$3='Base Cenários'!A$3,'Base Cenários'!F7,(IF(B$3='Base Cenários'!A$14,'Base Cenários'!F18,'Base Cenários'!F29)))</f>
        <v>0</v>
      </c>
      <c r="C78" s="45">
        <f>B78*24*60*60*365</f>
        <v>0</v>
      </c>
      <c r="D78" s="76">
        <v>1</v>
      </c>
      <c r="E78" s="92">
        <f>C$4</f>
        <v>6.5949999999999995E-2</v>
      </c>
      <c r="F78" s="81">
        <f t="shared" ref="F78:F83" si="37">C78</f>
        <v>0</v>
      </c>
      <c r="G78" s="81">
        <v>0</v>
      </c>
      <c r="H78" s="95">
        <f>C$4</f>
        <v>6.5949999999999995E-2</v>
      </c>
      <c r="I78" s="47">
        <f>IF(B$3='Base Cenários'!A$3,'Base Cenários'!K7,(IF(B$3='Base Cenários'!A$14,'Base Cenários'!K18,'Base Cenários'!K29)))</f>
        <v>0</v>
      </c>
      <c r="J78" s="47">
        <f>C$4</f>
        <v>6.5949999999999995E-2</v>
      </c>
      <c r="K78" s="85">
        <v>1</v>
      </c>
      <c r="L78" s="89">
        <f>C78*D78*E78</f>
        <v>0</v>
      </c>
      <c r="M78" s="89">
        <f>IF(F78&gt;0,(F78-G78)*H78*(C78/F78),0)</f>
        <v>0</v>
      </c>
      <c r="N78" s="89">
        <f>I78*J78</f>
        <v>0</v>
      </c>
      <c r="O78" s="89">
        <f>(L78+M78+N78)*K78</f>
        <v>0</v>
      </c>
    </row>
    <row r="79" spans="1:15">
      <c r="A79" s="8" t="s">
        <v>12</v>
      </c>
      <c r="B79" s="50">
        <f>IF(B$3='Base Cenários'!A$3,'Base Cenários'!F8,(IF(B$3='Base Cenários'!A$14,'Base Cenários'!F19,'Base Cenários'!F30)))</f>
        <v>0</v>
      </c>
      <c r="C79" s="45">
        <f t="shared" ref="C79:C83" si="38">B79*24*60*60*365</f>
        <v>0</v>
      </c>
      <c r="D79" s="76">
        <v>1</v>
      </c>
      <c r="E79" s="92">
        <f t="shared" ref="E79:E83" si="39">C$4</f>
        <v>6.5949999999999995E-2</v>
      </c>
      <c r="F79" s="81">
        <f t="shared" si="37"/>
        <v>0</v>
      </c>
      <c r="G79" s="81">
        <v>0</v>
      </c>
      <c r="H79" s="95">
        <f t="shared" ref="H79:H83" si="40">C$4</f>
        <v>6.5949999999999995E-2</v>
      </c>
      <c r="I79" s="47">
        <f>IF(B$3='Base Cenários'!A$3,'Base Cenários'!K8,(IF(B$3='Base Cenários'!A$14,'Base Cenários'!K19,'Base Cenários'!K30)))</f>
        <v>0</v>
      </c>
      <c r="J79" s="47">
        <f t="shared" ref="J79:J83" si="41">C$4</f>
        <v>6.5949999999999995E-2</v>
      </c>
      <c r="K79" s="85">
        <v>1</v>
      </c>
      <c r="L79" s="89">
        <f t="shared" ref="L79:L83" si="42">C79*D79*E79</f>
        <v>0</v>
      </c>
      <c r="M79" s="89">
        <f t="shared" ref="M79:M83" si="43">IF(F79&gt;0,(F79-G79)*H79*(C79/F79),0)</f>
        <v>0</v>
      </c>
      <c r="N79" s="89">
        <f t="shared" ref="N79:N83" si="44">I79*J79</f>
        <v>0</v>
      </c>
      <c r="O79" s="89">
        <f t="shared" ref="O79:O83" si="45">(L79+M79+N79)*K79</f>
        <v>0</v>
      </c>
    </row>
    <row r="80" spans="1:15">
      <c r="A80" s="8" t="s">
        <v>13</v>
      </c>
      <c r="B80" s="50">
        <f>IF(B$3='Base Cenários'!A$3,'Base Cenários'!F9,(IF(B$3='Base Cenários'!A$14,'Base Cenários'!F20,'Base Cenários'!F31)))</f>
        <v>0</v>
      </c>
      <c r="C80" s="45">
        <f t="shared" si="38"/>
        <v>0</v>
      </c>
      <c r="D80" s="76">
        <v>1</v>
      </c>
      <c r="E80" s="92">
        <f t="shared" si="39"/>
        <v>6.5949999999999995E-2</v>
      </c>
      <c r="F80" s="81">
        <f t="shared" si="37"/>
        <v>0</v>
      </c>
      <c r="G80" s="81">
        <v>0</v>
      </c>
      <c r="H80" s="95">
        <f t="shared" si="40"/>
        <v>6.5949999999999995E-2</v>
      </c>
      <c r="I80" s="47">
        <f>IF(B$3='Base Cenários'!A$3,'Base Cenários'!K9,(IF(B$3='Base Cenários'!A$14,'Base Cenários'!K20,'Base Cenários'!K31)))</f>
        <v>0</v>
      </c>
      <c r="J80" s="47">
        <f t="shared" si="41"/>
        <v>6.5949999999999995E-2</v>
      </c>
      <c r="K80" s="85">
        <v>1</v>
      </c>
      <c r="L80" s="89">
        <f t="shared" si="42"/>
        <v>0</v>
      </c>
      <c r="M80" s="89">
        <f t="shared" si="43"/>
        <v>0</v>
      </c>
      <c r="N80" s="89">
        <f t="shared" si="44"/>
        <v>0</v>
      </c>
      <c r="O80" s="89">
        <f t="shared" si="45"/>
        <v>0</v>
      </c>
    </row>
    <row r="81" spans="1:15">
      <c r="A81" s="8" t="s">
        <v>14</v>
      </c>
      <c r="B81" s="50">
        <f>IF(B$3='Base Cenários'!A$3,'Base Cenários'!F10,(IF(B$3='Base Cenários'!A$14,'Base Cenários'!F21,'Base Cenários'!F32)))</f>
        <v>2.0501472602739725</v>
      </c>
      <c r="C81" s="45">
        <f t="shared" si="38"/>
        <v>64653443.999999993</v>
      </c>
      <c r="D81" s="76">
        <v>1</v>
      </c>
      <c r="E81" s="92">
        <f t="shared" si="39"/>
        <v>6.5949999999999995E-2</v>
      </c>
      <c r="F81" s="81">
        <f t="shared" si="37"/>
        <v>64653443.999999993</v>
      </c>
      <c r="G81" s="81">
        <v>0</v>
      </c>
      <c r="H81" s="95">
        <f t="shared" si="40"/>
        <v>6.5949999999999995E-2</v>
      </c>
      <c r="I81" s="47">
        <f>IF(B$3='Base Cenários'!A$3,'Base Cenários'!K10,(IF(B$3='Base Cenários'!A$14,'Base Cenários'!K21,'Base Cenários'!K32)))</f>
        <v>717043.82975999999</v>
      </c>
      <c r="J81" s="47">
        <f t="shared" si="41"/>
        <v>6.5949999999999995E-2</v>
      </c>
      <c r="K81" s="85">
        <v>1</v>
      </c>
      <c r="L81" s="89">
        <f t="shared" si="42"/>
        <v>4263894.6317999996</v>
      </c>
      <c r="M81" s="89">
        <f t="shared" si="43"/>
        <v>4263894.6317999996</v>
      </c>
      <c r="N81" s="89">
        <f t="shared" si="44"/>
        <v>47289.040572671998</v>
      </c>
      <c r="O81" s="89">
        <f t="shared" si="45"/>
        <v>8575078.3041726705</v>
      </c>
    </row>
    <row r="82" spans="1:15">
      <c r="A82" s="8" t="s">
        <v>15</v>
      </c>
      <c r="B82" s="50">
        <f>IF(B$3='Base Cenários'!A$3,'Base Cenários'!F11,(IF(B$3='Base Cenários'!A$14,'Base Cenários'!F22,'Base Cenários'!F33)))</f>
        <v>0</v>
      </c>
      <c r="C82" s="45">
        <f t="shared" si="38"/>
        <v>0</v>
      </c>
      <c r="D82" s="76">
        <v>1</v>
      </c>
      <c r="E82" s="92">
        <f t="shared" si="39"/>
        <v>6.5949999999999995E-2</v>
      </c>
      <c r="F82" s="81">
        <f t="shared" si="37"/>
        <v>0</v>
      </c>
      <c r="G82" s="81">
        <v>0</v>
      </c>
      <c r="H82" s="95">
        <f t="shared" si="40"/>
        <v>6.5949999999999995E-2</v>
      </c>
      <c r="I82" s="47">
        <f>IF(B$3='Base Cenários'!A$3,'Base Cenários'!K11,(IF(B$3='Base Cenários'!A$14,'Base Cenários'!K22,'Base Cenários'!K33)))</f>
        <v>0</v>
      </c>
      <c r="J82" s="47">
        <f t="shared" si="41"/>
        <v>6.5949999999999995E-2</v>
      </c>
      <c r="K82" s="85">
        <v>1</v>
      </c>
      <c r="L82" s="89">
        <f t="shared" si="42"/>
        <v>0</v>
      </c>
      <c r="M82" s="89">
        <f t="shared" si="43"/>
        <v>0</v>
      </c>
      <c r="N82" s="89">
        <f t="shared" si="44"/>
        <v>0</v>
      </c>
      <c r="O82" s="89">
        <f t="shared" si="45"/>
        <v>0</v>
      </c>
    </row>
    <row r="83" spans="1:15" ht="12.75" thickBot="1">
      <c r="A83" s="10" t="s">
        <v>16</v>
      </c>
      <c r="B83" s="51">
        <f>IF(B$3='Base Cenários'!A$3,'Base Cenários'!F12,(IF(B$3='Base Cenários'!A$14,'Base Cenários'!F23,'Base Cenários'!F34)))</f>
        <v>0</v>
      </c>
      <c r="C83" s="51">
        <f t="shared" si="38"/>
        <v>0</v>
      </c>
      <c r="D83" s="77">
        <v>1</v>
      </c>
      <c r="E83" s="93">
        <f t="shared" si="39"/>
        <v>6.5949999999999995E-2</v>
      </c>
      <c r="F83" s="82">
        <f t="shared" si="37"/>
        <v>0</v>
      </c>
      <c r="G83" s="82">
        <v>0</v>
      </c>
      <c r="H83" s="96">
        <f t="shared" si="40"/>
        <v>6.5949999999999995E-2</v>
      </c>
      <c r="I83" s="48">
        <f>IF(B$3='Base Cenários'!A$3,'Base Cenários'!K12,(IF(B$3='Base Cenários'!A$14,'Base Cenários'!K23,'Base Cenários'!K34)))</f>
        <v>0</v>
      </c>
      <c r="J83" s="48">
        <f t="shared" si="41"/>
        <v>6.5949999999999995E-2</v>
      </c>
      <c r="K83" s="86">
        <v>1</v>
      </c>
      <c r="L83" s="90">
        <f t="shared" si="42"/>
        <v>0</v>
      </c>
      <c r="M83" s="90">
        <f t="shared" si="43"/>
        <v>0</v>
      </c>
      <c r="N83" s="90">
        <f t="shared" si="44"/>
        <v>0</v>
      </c>
      <c r="O83" s="90">
        <f t="shared" si="45"/>
        <v>0</v>
      </c>
    </row>
    <row r="84" spans="1:15" ht="12.75" thickBot="1">
      <c r="N84" s="46" t="s">
        <v>40</v>
      </c>
      <c r="O84" s="94">
        <f>SUM(O78:O83)</f>
        <v>8575078.3041726705</v>
      </c>
    </row>
  </sheetData>
  <mergeCells count="34">
    <mergeCell ref="A1:M1"/>
    <mergeCell ref="B2:I2"/>
    <mergeCell ref="A6:F6"/>
    <mergeCell ref="H6:M6"/>
    <mergeCell ref="A7:A8"/>
    <mergeCell ref="H7:H8"/>
    <mergeCell ref="B8:F8"/>
    <mergeCell ref="I8:M8"/>
    <mergeCell ref="A25:Q25"/>
    <mergeCell ref="A26:A27"/>
    <mergeCell ref="B26:F26"/>
    <mergeCell ref="G26:J26"/>
    <mergeCell ref="K26:L26"/>
    <mergeCell ref="N26:Q26"/>
    <mergeCell ref="A64:A65"/>
    <mergeCell ref="B64:E64"/>
    <mergeCell ref="F64:G64"/>
    <mergeCell ref="J64:L64"/>
    <mergeCell ref="A39:M39"/>
    <mergeCell ref="A40:A41"/>
    <mergeCell ref="B40:E40"/>
    <mergeCell ref="F40:H40"/>
    <mergeCell ref="K40:M40"/>
    <mergeCell ref="A51:O51"/>
    <mergeCell ref="A52:A53"/>
    <mergeCell ref="F52:H52"/>
    <mergeCell ref="I52:J52"/>
    <mergeCell ref="L52:O52"/>
    <mergeCell ref="A63:L63"/>
    <mergeCell ref="A75:O75"/>
    <mergeCell ref="A76:A77"/>
    <mergeCell ref="F76:H76"/>
    <mergeCell ref="I76:J76"/>
    <mergeCell ref="L76:O76"/>
  </mergeCells>
  <dataValidations count="2">
    <dataValidation type="list" allowBlank="1" showInputMessage="1" showErrorMessage="1" sqref="B4" xr:uid="{ADD97AE1-2E8F-4978-A1EF-F48FB7CA4D20}">
      <formula1>"PPU 1,PPU 2,PPU 3"</formula1>
    </dataValidation>
    <dataValidation type="list" allowBlank="1" showInputMessage="1" showErrorMessage="1" sqref="B3" xr:uid="{0EADCC72-38E6-4778-8616-8EEC42856106}">
      <formula1>"Cenário 1,Cenário 2,Cenário 3"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Renda</vt:lpstr>
      <vt:lpstr>Demandas </vt:lpstr>
      <vt:lpstr>Cargas Poluidoras</vt:lpstr>
      <vt:lpstr>Base Cenários</vt:lpstr>
      <vt:lpstr>Síntese</vt:lpstr>
      <vt:lpstr>Cenário B.1.1</vt:lpstr>
      <vt:lpstr>Cenário B.1.2</vt:lpstr>
      <vt:lpstr>Cenário B.1.3</vt:lpstr>
      <vt:lpstr>Cenário B.2.1</vt:lpstr>
      <vt:lpstr>Cenário B.2.2</vt:lpstr>
      <vt:lpstr>Cenário B.2.3</vt:lpstr>
      <vt:lpstr>Cenário B.3.1</vt:lpstr>
      <vt:lpstr>Cenário B.3.2</vt:lpstr>
      <vt:lpstr>Cenário B.3.3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 Morita</dc:creator>
  <cp:lastModifiedBy>Usuário</cp:lastModifiedBy>
  <dcterms:created xsi:type="dcterms:W3CDTF">2024-04-23T12:17:53Z</dcterms:created>
  <dcterms:modified xsi:type="dcterms:W3CDTF">2024-08-07T02:20:44Z</dcterms:modified>
</cp:coreProperties>
</file>