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drawings/drawing5.xml" ContentType="application/vnd.openxmlformats-officedocument.drawing+xml"/>
  <Override PartName="/xl/comments5.xml" ContentType="application/vnd.openxmlformats-officedocument.spreadsheetml.comments+xml"/>
  <Override PartName="/xl/drawings/drawing6.xml" ContentType="application/vnd.openxmlformats-officedocument.drawing+xml"/>
  <Override PartName="/xl/comments6.xml" ContentType="application/vnd.openxmlformats-officedocument.spreadsheetml.comments+xml"/>
  <Override PartName="/xl/drawings/drawing7.xml" ContentType="application/vnd.openxmlformats-officedocument.drawing+xml"/>
  <Override PartName="/xl/comments7.xml" ContentType="application/vnd.openxmlformats-officedocument.spreadsheetml.comments+xml"/>
  <Override PartName="/xl/drawings/drawing8.xml" ContentType="application/vnd.openxmlformats-officedocument.drawing+xml"/>
  <Override PartName="/xl/comments8.xml" ContentType="application/vnd.openxmlformats-officedocument.spreadsheetml.comments+xml"/>
  <Override PartName="/xl/drawings/drawing9.xml" ContentType="application/vnd.openxmlformats-officedocument.drawing+xml"/>
  <Override PartName="/xl/comments9.xml" ContentType="application/vnd.openxmlformats-officedocument.spreadsheetml.comments+xml"/>
  <Override PartName="/xl/drawings/drawing10.xml" ContentType="application/vnd.openxmlformats-officedocument.drawing+xml"/>
  <Override PartName="/xl/comments10.xml" ContentType="application/vnd.openxmlformats-officedocument.spreadsheetml.comments+xml"/>
  <Override PartName="/xl/drawings/drawing11.xml" ContentType="application/vnd.openxmlformats-officedocument.drawing+xml"/>
  <Override PartName="/xl/comments11.xml" ContentType="application/vnd.openxmlformats-officedocument.spreadsheetml.comments+xml"/>
  <Override PartName="/xl/drawings/drawing12.xml" ContentType="application/vnd.openxmlformats-officedocument.drawing+xml"/>
  <Override PartName="/xl/comments12.xml" ContentType="application/vnd.openxmlformats-officedocument.spreadsheetml.comments+xml"/>
  <Override PartName="/xl/drawings/drawing13.xml" ContentType="application/vnd.openxmlformats-officedocument.drawing+xml"/>
  <Override PartName="/xl/comments13.xml" ContentType="application/vnd.openxmlformats-officedocument.spreadsheetml.comments+xml"/>
  <Override PartName="/xl/drawings/drawing14.xml" ContentType="application/vnd.openxmlformats-officedocument.drawing+xml"/>
  <Override PartName="/xl/comments1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/>
  <mc:AlternateContent xmlns:mc="http://schemas.openxmlformats.org/markup-compatibility/2006">
    <mc:Choice Requires="x15">
      <x15ac:absPath xmlns:x15ac="http://schemas.microsoft.com/office/spreadsheetml/2010/11/ac" url="C:\Users\Usuário\Downloads\Entrega_Final\Entrega_Final\Cenário atual\"/>
    </mc:Choice>
  </mc:AlternateContent>
  <xr:revisionPtr revIDLastSave="0" documentId="13_ncr:1_{EFC0A4FC-8E7D-4FD5-B137-0F44E5F6A961}" xr6:coauthVersionLast="47" xr6:coauthVersionMax="47" xr10:uidLastSave="{00000000-0000-0000-0000-000000000000}"/>
  <bookViews>
    <workbookView xWindow="-120" yWindow="-120" windowWidth="20730" windowHeight="11160" tabRatio="811" activeTab="8" xr2:uid="{ED0D4283-0AF1-430A-A0F4-439A13221F1A}"/>
  </bookViews>
  <sheets>
    <sheet name="Renda" sheetId="1" r:id="rId1"/>
    <sheet name="Resumo Demandas " sheetId="2" r:id="rId2"/>
    <sheet name="Abastecimento" sheetId="19" r:id="rId3"/>
    <sheet name="Aquicultura" sheetId="20" r:id="rId4"/>
    <sheet name="Indústria" sheetId="23" r:id="rId5"/>
    <sheet name="Irrigação" sheetId="24" r:id="rId6"/>
    <sheet name="Termoelétrica" sheetId="25" r:id="rId7"/>
    <sheet name="Base Cenários" sheetId="5" r:id="rId8"/>
    <sheet name="Síntese" sheetId="8" r:id="rId9"/>
    <sheet name="Cenário A.1.1" sheetId="3" r:id="rId10"/>
    <sheet name="Cenário A.1.2" sheetId="9" r:id="rId11"/>
    <sheet name="Cenário A.1.3" sheetId="10" r:id="rId12"/>
    <sheet name="Cenário A.2.1" sheetId="12" r:id="rId13"/>
    <sheet name="Cenário A.2.2" sheetId="18" r:id="rId14"/>
    <sheet name="Cenário A.2.3" sheetId="14" r:id="rId15"/>
    <sheet name="Cenário A.3.1" sheetId="15" r:id="rId16"/>
    <sheet name="Cenário A.3.2" sheetId="16" r:id="rId17"/>
    <sheet name="Cenário A.3.3" sheetId="17" r:id="rId1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10" i="8" l="1"/>
  <c r="B16" i="8"/>
  <c r="M10" i="2" l="1"/>
  <c r="B20" i="1"/>
  <c r="E12" i="14"/>
  <c r="B30" i="5" l="1"/>
  <c r="B31" i="5"/>
  <c r="B32" i="5"/>
  <c r="B33" i="5"/>
  <c r="B34" i="5"/>
  <c r="B19" i="5"/>
  <c r="B20" i="5"/>
  <c r="B21" i="5"/>
  <c r="B22" i="5"/>
  <c r="B23" i="5"/>
  <c r="B29" i="5"/>
  <c r="B12" i="12" l="1"/>
  <c r="M40" i="23"/>
  <c r="I13" i="25" l="1" a="1"/>
  <c r="I13" i="25" s="1"/>
  <c r="I7" i="25" a="1"/>
  <c r="I7" i="25"/>
  <c r="I8" i="25" a="1"/>
  <c r="I8" i="25" s="1"/>
  <c r="I9" i="25" a="1"/>
  <c r="I9" i="25" s="1"/>
  <c r="I10" i="25" a="1"/>
  <c r="I10" i="25"/>
  <c r="I11" i="25" a="1"/>
  <c r="I11" i="25" s="1"/>
  <c r="I12" i="25" a="1"/>
  <c r="I12" i="25" s="1"/>
  <c r="I14" i="25" a="1"/>
  <c r="I14" i="25" s="1"/>
  <c r="I15" i="25" a="1"/>
  <c r="I15" i="25" s="1"/>
  <c r="I16" i="25" a="1"/>
  <c r="I16" i="25" s="1"/>
  <c r="C9" i="9" l="1"/>
  <c r="D9" i="9"/>
  <c r="E9" i="9"/>
  <c r="C10" i="9"/>
  <c r="D10" i="9"/>
  <c r="E10" i="9"/>
  <c r="C11" i="9"/>
  <c r="D11" i="9"/>
  <c r="E11" i="9"/>
  <c r="C12" i="9"/>
  <c r="D12" i="9"/>
  <c r="E12" i="9"/>
  <c r="C13" i="9"/>
  <c r="D13" i="9"/>
  <c r="E13" i="9"/>
  <c r="C14" i="9"/>
  <c r="D14" i="9"/>
  <c r="E14" i="9"/>
  <c r="E30" i="5"/>
  <c r="E31" i="5"/>
  <c r="E32" i="5"/>
  <c r="E33" i="5"/>
  <c r="E34" i="5"/>
  <c r="E29" i="5"/>
  <c r="E23" i="5"/>
  <c r="E22" i="5"/>
  <c r="E21" i="5"/>
  <c r="E20" i="5"/>
  <c r="E19" i="5"/>
  <c r="E18" i="5"/>
  <c r="E8" i="5"/>
  <c r="E9" i="5"/>
  <c r="E10" i="5"/>
  <c r="E11" i="5"/>
  <c r="E12" i="5"/>
  <c r="E7" i="5"/>
  <c r="M12" i="2"/>
  <c r="W10" i="2"/>
  <c r="X10" i="2"/>
  <c r="N10" i="2"/>
  <c r="R10" i="2"/>
  <c r="W11" i="2"/>
  <c r="X8" i="2"/>
  <c r="X9" i="2"/>
  <c r="X7" i="2"/>
  <c r="W12" i="2"/>
  <c r="W8" i="2"/>
  <c r="W9" i="2"/>
  <c r="W7" i="2"/>
  <c r="D46" i="25"/>
  <c r="I46" i="25" s="1" a="1"/>
  <c r="I46" i="25" s="1"/>
  <c r="D45" i="25"/>
  <c r="I45" i="25" s="1" a="1"/>
  <c r="I45" i="25" s="1"/>
  <c r="D44" i="25"/>
  <c r="I44" i="25" s="1" a="1"/>
  <c r="I44" i="25" s="1"/>
  <c r="D43" i="25"/>
  <c r="I43" i="25" s="1" a="1"/>
  <c r="I43" i="25" s="1"/>
  <c r="D42" i="25"/>
  <c r="I42" i="25" s="1" a="1"/>
  <c r="I42" i="25" s="1"/>
  <c r="D41" i="25"/>
  <c r="I41" i="25" s="1" a="1"/>
  <c r="I41" i="25" s="1"/>
  <c r="I35" i="25" a="1"/>
  <c r="I35" i="25" s="1"/>
  <c r="F23" i="5" s="1"/>
  <c r="I34" i="25" a="1"/>
  <c r="I34" i="25" s="1"/>
  <c r="F33" i="5" s="1"/>
  <c r="I33" i="25" a="1"/>
  <c r="I33" i="25" s="1"/>
  <c r="I32" i="25" a="1"/>
  <c r="I32" i="25" s="1"/>
  <c r="I31" i="25" a="1"/>
  <c r="I31" i="25" s="1"/>
  <c r="I30" i="25" a="1"/>
  <c r="I30" i="25" s="1"/>
  <c r="I29" i="25" a="1"/>
  <c r="I29" i="25" s="1"/>
  <c r="I28" i="25" a="1"/>
  <c r="I28" i="25" s="1"/>
  <c r="I27" i="25" a="1"/>
  <c r="I27" i="25" s="1"/>
  <c r="I26" i="25" a="1"/>
  <c r="I26" i="25" s="1"/>
  <c r="I25" i="25" a="1"/>
  <c r="I25" i="25" s="1"/>
  <c r="F32" i="5" s="1"/>
  <c r="I24" i="25" a="1"/>
  <c r="I24" i="25" s="1"/>
  <c r="F31" i="5" s="1"/>
  <c r="I23" i="25" a="1"/>
  <c r="I23" i="25" s="1"/>
  <c r="F30" i="5" s="1"/>
  <c r="I22" i="25" a="1"/>
  <c r="I22" i="25" s="1"/>
  <c r="F29" i="5" s="1"/>
  <c r="F12" i="5"/>
  <c r="F14" i="9" s="1"/>
  <c r="F11" i="5"/>
  <c r="F13" i="9" s="1"/>
  <c r="F9" i="5"/>
  <c r="F11" i="9" s="1"/>
  <c r="F8" i="5"/>
  <c r="F10" i="9" s="1"/>
  <c r="I6" i="25" a="1"/>
  <c r="I6" i="25" s="1"/>
  <c r="F7" i="5" s="1"/>
  <c r="F9" i="9" s="1"/>
  <c r="F10" i="5" l="1"/>
  <c r="F12" i="9" s="1"/>
  <c r="F34" i="5"/>
  <c r="F18" i="5"/>
  <c r="F20" i="5"/>
  <c r="F19" i="5"/>
  <c r="F21" i="5"/>
  <c r="F22" i="5"/>
  <c r="R11" i="2"/>
  <c r="R7" i="2"/>
  <c r="R12" i="2"/>
  <c r="I26" i="24" a="1"/>
  <c r="I26" i="24" s="1"/>
  <c r="J11" i="2"/>
  <c r="D32" i="24"/>
  <c r="D33" i="24"/>
  <c r="I33" i="24" s="1"/>
  <c r="D34" i="24"/>
  <c r="I34" i="24" s="1"/>
  <c r="D35" i="24"/>
  <c r="I35" i="24" s="1"/>
  <c r="D36" i="24"/>
  <c r="I36" i="24" s="1"/>
  <c r="D31" i="24"/>
  <c r="I31" i="24" s="1"/>
  <c r="I19" i="24" a="1"/>
  <c r="I19" i="24" s="1"/>
  <c r="I21" i="24" a="1"/>
  <c r="I21" i="24" s="1"/>
  <c r="I22" i="24" a="1"/>
  <c r="I22" i="24" s="1"/>
  <c r="I23" i="24" a="1"/>
  <c r="I23" i="24" s="1"/>
  <c r="I24" i="24" a="1"/>
  <c r="I24" i="24" s="1"/>
  <c r="I17" i="24" a="1"/>
  <c r="I17" i="24" s="1"/>
  <c r="R8" i="2" s="1"/>
  <c r="I18" i="24" a="1"/>
  <c r="I18" i="24" s="1"/>
  <c r="R9" i="2" s="1"/>
  <c r="I20" i="24" a="1"/>
  <c r="I20" i="24" s="1"/>
  <c r="I25" i="24" a="1"/>
  <c r="I25" i="24" s="1"/>
  <c r="I16" i="24" a="1"/>
  <c r="I16" i="24" s="1"/>
  <c r="I7" i="24" a="1"/>
  <c r="I7" i="24" s="1"/>
  <c r="I8" i="24" a="1"/>
  <c r="I8" i="24" s="1"/>
  <c r="I9" i="24" a="1"/>
  <c r="I9" i="24" s="1"/>
  <c r="I10" i="24" a="1"/>
  <c r="I10" i="24" s="1"/>
  <c r="I11" i="24" a="1"/>
  <c r="I11" i="24" s="1"/>
  <c r="I6" i="24" a="1"/>
  <c r="I6" i="24" s="1"/>
  <c r="I29" i="20" a="1"/>
  <c r="I29" i="20" s="1"/>
  <c r="I30" i="20" a="1"/>
  <c r="I30" i="20" s="1"/>
  <c r="I31" i="20" a="1"/>
  <c r="I31" i="20" s="1"/>
  <c r="I32" i="20" a="1"/>
  <c r="I32" i="20" s="1"/>
  <c r="I33" i="20" a="1"/>
  <c r="I33" i="20" s="1"/>
  <c r="I34" i="20" a="1"/>
  <c r="I34" i="20" s="1"/>
  <c r="I35" i="20" a="1"/>
  <c r="I35" i="20" s="1"/>
  <c r="I28" i="20" a="1"/>
  <c r="I28" i="20" s="1"/>
  <c r="I17" i="20" a="1"/>
  <c r="I17" i="20" s="1"/>
  <c r="I18" i="20" a="1"/>
  <c r="I18" i="20" s="1"/>
  <c r="I19" i="20" a="1"/>
  <c r="I19" i="20" s="1"/>
  <c r="I20" i="20" a="1"/>
  <c r="I20" i="20" s="1"/>
  <c r="I21" i="20" a="1"/>
  <c r="I21" i="20" s="1"/>
  <c r="I22" i="20" a="1"/>
  <c r="I22" i="20" s="1"/>
  <c r="I23" i="20" a="1"/>
  <c r="I23" i="20" s="1"/>
  <c r="I16" i="20" a="1"/>
  <c r="I16" i="20" s="1"/>
  <c r="I7" i="20" a="1"/>
  <c r="I7" i="20" s="1"/>
  <c r="I8" i="20" a="1"/>
  <c r="I8" i="20" s="1"/>
  <c r="I9" i="20" a="1"/>
  <c r="I9" i="20" s="1"/>
  <c r="I10" i="20" a="1"/>
  <c r="I10" i="20" s="1"/>
  <c r="I11" i="20" a="1"/>
  <c r="I11" i="20" s="1"/>
  <c r="I6" i="20" a="1"/>
  <c r="I6" i="20" s="1"/>
  <c r="I32" i="24"/>
  <c r="I34" i="23" l="1" a="1"/>
  <c r="I34" i="23" s="1"/>
  <c r="I13" i="23" a="1"/>
  <c r="I13" i="23" s="1"/>
  <c r="E9" i="3"/>
  <c r="D10" i="3"/>
  <c r="E10" i="3"/>
  <c r="E11" i="3"/>
  <c r="E12" i="3"/>
  <c r="E13" i="3"/>
  <c r="F13" i="3"/>
  <c r="E14" i="3"/>
  <c r="F14" i="3"/>
  <c r="B13" i="3"/>
  <c r="C29" i="5"/>
  <c r="C18" i="5"/>
  <c r="D50" i="23"/>
  <c r="I50" i="23" s="1" a="1"/>
  <c r="I50" i="23" s="1"/>
  <c r="D30" i="5" s="1"/>
  <c r="D51" i="23"/>
  <c r="I51" i="23" s="1" a="1"/>
  <c r="I51" i="23" s="1"/>
  <c r="D31" i="5" s="1"/>
  <c r="D52" i="23"/>
  <c r="I52" i="23" s="1" a="1"/>
  <c r="I52" i="23" s="1"/>
  <c r="D32" i="5" s="1"/>
  <c r="D53" i="23"/>
  <c r="I53" i="23" s="1" a="1"/>
  <c r="I53" i="23" s="1"/>
  <c r="D33" i="5" s="1"/>
  <c r="D54" i="23"/>
  <c r="I54" i="23" s="1" a="1"/>
  <c r="I54" i="23" s="1"/>
  <c r="D34" i="5" s="1"/>
  <c r="D49" i="23"/>
  <c r="I49" i="23" s="1" a="1"/>
  <c r="I49" i="23" s="1"/>
  <c r="D29" i="5" s="1"/>
  <c r="N12" i="2"/>
  <c r="N11" i="2"/>
  <c r="M11" i="2"/>
  <c r="M8" i="2"/>
  <c r="M9" i="2"/>
  <c r="M7" i="2"/>
  <c r="N8" i="2"/>
  <c r="N9" i="2"/>
  <c r="N7" i="2"/>
  <c r="J10" i="2"/>
  <c r="J8" i="2"/>
  <c r="J9" i="2"/>
  <c r="J7" i="2"/>
  <c r="C12" i="2"/>
  <c r="I56" i="19" a="1"/>
  <c r="I56" i="19" s="1"/>
  <c r="I57" i="19" a="1"/>
  <c r="I57" i="19" s="1"/>
  <c r="I58" i="19" a="1"/>
  <c r="I58" i="19" s="1"/>
  <c r="I59" i="19" a="1"/>
  <c r="I59" i="19"/>
  <c r="I60" i="19" a="1"/>
  <c r="I60" i="19" s="1"/>
  <c r="I61" i="19" a="1"/>
  <c r="I61" i="19" s="1"/>
  <c r="I62" i="19" a="1"/>
  <c r="I62" i="19" s="1"/>
  <c r="I63" i="19" a="1"/>
  <c r="I63" i="19" s="1"/>
  <c r="I64" i="19" a="1"/>
  <c r="I64" i="19" s="1"/>
  <c r="I65" i="19" a="1"/>
  <c r="I65" i="19" s="1"/>
  <c r="I66" i="19" a="1"/>
  <c r="I66" i="19" s="1"/>
  <c r="I67" i="19" a="1"/>
  <c r="I67" i="19" s="1"/>
  <c r="I68" i="19" a="1"/>
  <c r="I68" i="19" s="1"/>
  <c r="I69" i="19" a="1"/>
  <c r="I69" i="19" s="1"/>
  <c r="I70" i="19" a="1"/>
  <c r="I70" i="19" s="1"/>
  <c r="I73" i="19"/>
  <c r="I74" i="19"/>
  <c r="I75" i="19"/>
  <c r="I76" i="19"/>
  <c r="I52" i="19" a="1"/>
  <c r="I52" i="19" s="1"/>
  <c r="I53" i="19" a="1"/>
  <c r="I53" i="19" s="1"/>
  <c r="I54" i="19" a="1"/>
  <c r="I54" i="19" s="1"/>
  <c r="I55" i="19" a="1"/>
  <c r="I55" i="19" s="1"/>
  <c r="I71" i="19" a="1"/>
  <c r="I71" i="19" s="1"/>
  <c r="I72" i="19" a="1"/>
  <c r="I72" i="19" s="1"/>
  <c r="C11" i="2"/>
  <c r="D10" i="2"/>
  <c r="C10" i="2"/>
  <c r="C8" i="2"/>
  <c r="C9" i="2"/>
  <c r="C7" i="2"/>
  <c r="D7" i="2"/>
  <c r="D12" i="2"/>
  <c r="D11" i="2"/>
  <c r="D9" i="2"/>
  <c r="D8" i="2"/>
  <c r="I40" i="23" a="1"/>
  <c r="I40" i="23" s="1"/>
  <c r="I41" i="23" a="1"/>
  <c r="I41" i="23" s="1"/>
  <c r="I42" i="23" a="1"/>
  <c r="I42" i="23" s="1"/>
  <c r="I43" i="23" a="1"/>
  <c r="I43" i="23" s="1"/>
  <c r="I17" i="23" a="1"/>
  <c r="I17" i="23" s="1"/>
  <c r="I14" i="23" a="1"/>
  <c r="I14" i="23" s="1"/>
  <c r="I15" i="23" a="1"/>
  <c r="I15" i="23" s="1"/>
  <c r="I39" i="23" a="1"/>
  <c r="I39" i="23" s="1"/>
  <c r="D22" i="5" s="1"/>
  <c r="I38" i="23" a="1"/>
  <c r="I38" i="23" s="1"/>
  <c r="I37" i="23" a="1"/>
  <c r="I37" i="23" s="1"/>
  <c r="I36" i="23" a="1"/>
  <c r="I36" i="23" s="1"/>
  <c r="I35" i="23" a="1"/>
  <c r="I35" i="23" s="1"/>
  <c r="I33" i="23" a="1"/>
  <c r="I33" i="23" s="1"/>
  <c r="I32" i="23" a="1"/>
  <c r="I32" i="23" s="1"/>
  <c r="I31" i="23" a="1"/>
  <c r="I31" i="23" s="1"/>
  <c r="I30" i="23" a="1"/>
  <c r="I30" i="23" s="1"/>
  <c r="I29" i="23" a="1"/>
  <c r="I29" i="23" s="1"/>
  <c r="I28" i="23" a="1"/>
  <c r="I28" i="23" s="1"/>
  <c r="I27" i="23" a="1"/>
  <c r="I27" i="23" s="1"/>
  <c r="I26" i="23" a="1"/>
  <c r="I26" i="23" s="1"/>
  <c r="D20" i="5" s="1"/>
  <c r="I25" i="23" a="1"/>
  <c r="I25" i="23" s="1"/>
  <c r="D19" i="5" s="1"/>
  <c r="I24" i="23" a="1"/>
  <c r="I24" i="23" s="1"/>
  <c r="D18" i="5" s="1"/>
  <c r="I18" i="23" a="1"/>
  <c r="I18" i="23" s="1"/>
  <c r="I16" i="23" a="1"/>
  <c r="I16" i="23" s="1"/>
  <c r="D11" i="5" s="1"/>
  <c r="D13" i="3" s="1"/>
  <c r="I12" i="23" a="1"/>
  <c r="I12" i="23" s="1"/>
  <c r="I11" i="23" a="1"/>
  <c r="I11" i="23" s="1"/>
  <c r="I10" i="23" a="1"/>
  <c r="I10" i="23" s="1"/>
  <c r="I9" i="23" a="1"/>
  <c r="I9" i="23" s="1"/>
  <c r="I8" i="23" a="1"/>
  <c r="I8" i="23" s="1"/>
  <c r="D9" i="5" s="1"/>
  <c r="D11" i="3" s="1"/>
  <c r="I7" i="23" a="1"/>
  <c r="I7" i="23" s="1"/>
  <c r="D8" i="5" s="1"/>
  <c r="I6" i="23" a="1"/>
  <c r="I6" i="23" s="1"/>
  <c r="D7" i="5" s="1"/>
  <c r="D9" i="3" s="1"/>
  <c r="I46" i="19"/>
  <c r="I45" i="19"/>
  <c r="I44" i="19"/>
  <c r="I43" i="19"/>
  <c r="I42" i="19" a="1"/>
  <c r="I42" i="19" s="1"/>
  <c r="I41" i="19" a="1"/>
  <c r="I41" i="19" s="1"/>
  <c r="I7" i="19" a="1"/>
  <c r="I7" i="19" s="1"/>
  <c r="I8" i="19" a="1"/>
  <c r="I8" i="19" s="1"/>
  <c r="I9" i="19" a="1"/>
  <c r="I9" i="19" s="1"/>
  <c r="I10" i="19" a="1"/>
  <c r="I10" i="19" s="1"/>
  <c r="I11" i="19" a="1"/>
  <c r="I11" i="19" s="1"/>
  <c r="I12" i="19" a="1"/>
  <c r="I12" i="19" s="1"/>
  <c r="I13" i="19" a="1"/>
  <c r="I13" i="19" s="1"/>
  <c r="I14" i="19" a="1"/>
  <c r="I14" i="19" s="1"/>
  <c r="I15" i="19" a="1"/>
  <c r="I15" i="19" s="1"/>
  <c r="B11" i="5" s="1"/>
  <c r="B13" i="9" s="1"/>
  <c r="I16" i="19" a="1"/>
  <c r="I16" i="19" s="1"/>
  <c r="B12" i="5" s="1"/>
  <c r="B14" i="9" s="1"/>
  <c r="I6" i="19" a="1"/>
  <c r="I6" i="19" s="1"/>
  <c r="B18" i="5" s="1"/>
  <c r="I22" i="19" a="1"/>
  <c r="I22" i="19" s="1"/>
  <c r="I24" i="19" a="1"/>
  <c r="I24" i="19" s="1"/>
  <c r="I25" i="19" a="1"/>
  <c r="I25" i="19" s="1"/>
  <c r="I26" i="19" a="1"/>
  <c r="I26" i="19" s="1"/>
  <c r="I27" i="19" a="1"/>
  <c r="I27" i="19" s="1"/>
  <c r="I28" i="19" a="1"/>
  <c r="I28" i="19" s="1"/>
  <c r="I29" i="19" a="1"/>
  <c r="I29" i="19" s="1"/>
  <c r="I30" i="19" a="1"/>
  <c r="I30" i="19" s="1"/>
  <c r="I31" i="19" a="1"/>
  <c r="I31" i="19" s="1"/>
  <c r="I32" i="19" a="1"/>
  <c r="I32" i="19" s="1"/>
  <c r="I33" i="19" a="1"/>
  <c r="I33" i="19" s="1"/>
  <c r="I34" i="19" a="1"/>
  <c r="I34" i="19" s="1"/>
  <c r="I35" i="19" a="1"/>
  <c r="I35" i="19" s="1"/>
  <c r="I36" i="19" a="1"/>
  <c r="I36" i="19" s="1"/>
  <c r="I37" i="19" a="1"/>
  <c r="I37" i="19" s="1"/>
  <c r="I38" i="19" a="1"/>
  <c r="I38" i="19" s="1"/>
  <c r="I39" i="19" a="1"/>
  <c r="I39" i="19" s="1"/>
  <c r="I40" i="19" a="1"/>
  <c r="I40" i="19" s="1"/>
  <c r="I23" i="19" a="1"/>
  <c r="I23" i="19" s="1"/>
  <c r="C23" i="5"/>
  <c r="C21" i="5"/>
  <c r="C20" i="5"/>
  <c r="C19" i="5"/>
  <c r="C8" i="5"/>
  <c r="C10" i="3" s="1"/>
  <c r="C9" i="5"/>
  <c r="C11" i="3" s="1"/>
  <c r="C33" i="5"/>
  <c r="C10" i="5"/>
  <c r="C12" i="3" s="1"/>
  <c r="C11" i="5"/>
  <c r="C13" i="3" s="1"/>
  <c r="C12" i="5"/>
  <c r="C14" i="3" s="1"/>
  <c r="C7" i="5"/>
  <c r="C9" i="3" s="1"/>
  <c r="B14" i="3" l="1"/>
  <c r="D23" i="5"/>
  <c r="D21" i="5"/>
  <c r="C32" i="5"/>
  <c r="C31" i="5"/>
  <c r="C30" i="5"/>
  <c r="C22" i="5"/>
  <c r="C34" i="5"/>
  <c r="B7" i="5"/>
  <c r="D12" i="5"/>
  <c r="D14" i="3" s="1"/>
  <c r="D10" i="5"/>
  <c r="D12" i="3" s="1"/>
  <c r="B9" i="5"/>
  <c r="B8" i="5"/>
  <c r="B10" i="5"/>
  <c r="B10" i="9" l="1"/>
  <c r="B10" i="3"/>
  <c r="B9" i="3"/>
  <c r="B9" i="9"/>
  <c r="B11" i="9"/>
  <c r="B11" i="3"/>
  <c r="B12" i="9"/>
  <c r="B12" i="3"/>
  <c r="J3" i="5"/>
  <c r="B34" i="8"/>
  <c r="P34" i="8"/>
  <c r="F9" i="3"/>
  <c r="M14" i="18"/>
  <c r="M30" i="8" s="1"/>
  <c r="J14" i="18"/>
  <c r="J30" i="8" s="1"/>
  <c r="M13" i="18"/>
  <c r="M29" i="8" s="1"/>
  <c r="M11" i="18"/>
  <c r="M27" i="8" s="1"/>
  <c r="I11" i="18"/>
  <c r="I27" i="8" s="1"/>
  <c r="M10" i="18"/>
  <c r="M26" i="8" s="1"/>
  <c r="J10" i="18"/>
  <c r="J26" i="8" s="1"/>
  <c r="M9" i="18"/>
  <c r="M25" i="8" s="1"/>
  <c r="C4" i="18"/>
  <c r="C4" i="15"/>
  <c r="C4" i="10"/>
  <c r="C4" i="9"/>
  <c r="E12" i="15" l="1"/>
  <c r="C10" i="15"/>
  <c r="F14" i="15"/>
  <c r="D12" i="15"/>
  <c r="B10" i="15"/>
  <c r="D9" i="15"/>
  <c r="E14" i="15"/>
  <c r="C12" i="15"/>
  <c r="F9" i="15"/>
  <c r="D14" i="15"/>
  <c r="B12" i="15"/>
  <c r="E9" i="15"/>
  <c r="F11" i="15"/>
  <c r="C14" i="15"/>
  <c r="B14" i="15"/>
  <c r="E11" i="15"/>
  <c r="C9" i="15"/>
  <c r="F13" i="15"/>
  <c r="D11" i="15"/>
  <c r="B9" i="15"/>
  <c r="E13" i="15"/>
  <c r="C11" i="15"/>
  <c r="E10" i="15"/>
  <c r="D13" i="15"/>
  <c r="B11" i="15"/>
  <c r="C13" i="15"/>
  <c r="F10" i="15"/>
  <c r="B13" i="15"/>
  <c r="F12" i="15"/>
  <c r="D10" i="15"/>
  <c r="F14" i="18"/>
  <c r="D12" i="18"/>
  <c r="B10" i="18"/>
  <c r="E14" i="18"/>
  <c r="C12" i="18"/>
  <c r="F9" i="18"/>
  <c r="D14" i="18"/>
  <c r="B12" i="18"/>
  <c r="E9" i="18"/>
  <c r="E15" i="18" s="1"/>
  <c r="C14" i="18"/>
  <c r="F11" i="18"/>
  <c r="D9" i="18"/>
  <c r="D15" i="18" s="1"/>
  <c r="B14" i="18"/>
  <c r="E11" i="18"/>
  <c r="C9" i="18"/>
  <c r="F13" i="18"/>
  <c r="D11" i="18"/>
  <c r="B9" i="18"/>
  <c r="E12" i="18"/>
  <c r="E13" i="18"/>
  <c r="C11" i="18"/>
  <c r="J11" i="18" s="1"/>
  <c r="J27" i="8" s="1"/>
  <c r="D13" i="18"/>
  <c r="B11" i="18"/>
  <c r="C10" i="18"/>
  <c r="C13" i="18"/>
  <c r="F10" i="18"/>
  <c r="D10" i="18"/>
  <c r="B13" i="18"/>
  <c r="E10" i="18"/>
  <c r="F12" i="18"/>
  <c r="E12" i="10"/>
  <c r="C10" i="10"/>
  <c r="F14" i="10"/>
  <c r="D12" i="10"/>
  <c r="B10" i="10"/>
  <c r="D10" i="10"/>
  <c r="E14" i="10"/>
  <c r="C12" i="10"/>
  <c r="F9" i="10"/>
  <c r="D14" i="10"/>
  <c r="B12" i="10"/>
  <c r="E9" i="10"/>
  <c r="E15" i="10" s="1"/>
  <c r="C14" i="10"/>
  <c r="F11" i="10"/>
  <c r="D9" i="10"/>
  <c r="B14" i="10"/>
  <c r="E11" i="10"/>
  <c r="C9" i="10"/>
  <c r="F13" i="10"/>
  <c r="D11" i="10"/>
  <c r="B9" i="10"/>
  <c r="E13" i="10"/>
  <c r="C11" i="10"/>
  <c r="F12" i="10"/>
  <c r="D13" i="10"/>
  <c r="B11" i="10"/>
  <c r="E10" i="10"/>
  <c r="C13" i="10"/>
  <c r="F10" i="10"/>
  <c r="B13" i="10"/>
  <c r="F12" i="3"/>
  <c r="F11" i="3"/>
  <c r="F10" i="3"/>
  <c r="J13" i="18"/>
  <c r="J29" i="8" s="1"/>
  <c r="J12" i="18"/>
  <c r="J28" i="8" s="1"/>
  <c r="F15" i="10" l="1"/>
  <c r="E15" i="15"/>
  <c r="B15" i="15"/>
  <c r="D15" i="15"/>
  <c r="C15" i="15"/>
  <c r="F15" i="15"/>
  <c r="F15" i="18"/>
  <c r="C15" i="18"/>
  <c r="B15" i="18"/>
  <c r="B15" i="10"/>
  <c r="C15" i="10"/>
  <c r="D15" i="10"/>
  <c r="I14" i="18"/>
  <c r="I30" i="8" s="1"/>
  <c r="I10" i="18"/>
  <c r="I26" i="8" s="1"/>
  <c r="I12" i="18"/>
  <c r="I28" i="8" s="1"/>
  <c r="J15" i="18"/>
  <c r="J31" i="8" s="1"/>
  <c r="J9" i="18"/>
  <c r="J25" i="8" s="1"/>
  <c r="I9" i="18" l="1"/>
  <c r="I25" i="8" s="1"/>
  <c r="P35" i="8" l="1"/>
  <c r="P20" i="8"/>
  <c r="P5" i="8"/>
  <c r="P19" i="8"/>
  <c r="P4" i="8"/>
  <c r="I35" i="8"/>
  <c r="I20" i="8"/>
  <c r="I5" i="8"/>
  <c r="I34" i="8"/>
  <c r="I19" i="8"/>
  <c r="I4" i="8"/>
  <c r="C4" i="17"/>
  <c r="C4" i="16"/>
  <c r="C4" i="14"/>
  <c r="C4" i="12"/>
  <c r="B35" i="8"/>
  <c r="B20" i="8"/>
  <c r="B19" i="8"/>
  <c r="B5" i="8"/>
  <c r="F14" i="17" l="1"/>
  <c r="D12" i="17"/>
  <c r="B10" i="17"/>
  <c r="E14" i="17"/>
  <c r="C12" i="17"/>
  <c r="F9" i="17"/>
  <c r="D10" i="17"/>
  <c r="D14" i="17"/>
  <c r="B12" i="17"/>
  <c r="E9" i="17"/>
  <c r="C14" i="17"/>
  <c r="F11" i="17"/>
  <c r="D9" i="17"/>
  <c r="B14" i="17"/>
  <c r="E11" i="17"/>
  <c r="C9" i="17"/>
  <c r="F12" i="17"/>
  <c r="F13" i="17"/>
  <c r="D11" i="17"/>
  <c r="B9" i="17"/>
  <c r="E13" i="17"/>
  <c r="C11" i="17"/>
  <c r="E10" i="17"/>
  <c r="D13" i="17"/>
  <c r="B11" i="17"/>
  <c r="C13" i="17"/>
  <c r="F10" i="17"/>
  <c r="B13" i="17"/>
  <c r="E12" i="17"/>
  <c r="C10" i="17"/>
  <c r="F14" i="16"/>
  <c r="D12" i="16"/>
  <c r="B10" i="16"/>
  <c r="E14" i="16"/>
  <c r="C12" i="16"/>
  <c r="F9" i="16"/>
  <c r="D10" i="16"/>
  <c r="D14" i="16"/>
  <c r="B12" i="16"/>
  <c r="E9" i="16"/>
  <c r="E15" i="16" s="1"/>
  <c r="C14" i="16"/>
  <c r="F11" i="16"/>
  <c r="D9" i="16"/>
  <c r="B14" i="16"/>
  <c r="E11" i="16"/>
  <c r="C9" i="16"/>
  <c r="F13" i="16"/>
  <c r="D11" i="16"/>
  <c r="B9" i="16"/>
  <c r="E13" i="16"/>
  <c r="C11" i="16"/>
  <c r="F10" i="16"/>
  <c r="D13" i="16"/>
  <c r="B11" i="16"/>
  <c r="C13" i="16"/>
  <c r="B13" i="16"/>
  <c r="E10" i="16"/>
  <c r="F12" i="16"/>
  <c r="E12" i="16"/>
  <c r="C10" i="16"/>
  <c r="F14" i="14"/>
  <c r="D12" i="14"/>
  <c r="B10" i="14"/>
  <c r="D10" i="14"/>
  <c r="E14" i="14"/>
  <c r="C12" i="14"/>
  <c r="F9" i="14"/>
  <c r="D14" i="14"/>
  <c r="B12" i="14"/>
  <c r="E9" i="14"/>
  <c r="E15" i="14" s="1"/>
  <c r="F10" i="14"/>
  <c r="C14" i="14"/>
  <c r="F11" i="14"/>
  <c r="D9" i="14"/>
  <c r="B14" i="14"/>
  <c r="E11" i="14"/>
  <c r="C9" i="14"/>
  <c r="F13" i="14"/>
  <c r="D11" i="14"/>
  <c r="B9" i="14"/>
  <c r="E13" i="14"/>
  <c r="C11" i="14"/>
  <c r="D13" i="14"/>
  <c r="B11" i="14"/>
  <c r="C13" i="14"/>
  <c r="C10" i="14"/>
  <c r="B13" i="14"/>
  <c r="E10" i="14"/>
  <c r="F12" i="14"/>
  <c r="F14" i="12"/>
  <c r="D12" i="12"/>
  <c r="B10" i="12"/>
  <c r="E12" i="12"/>
  <c r="E14" i="12"/>
  <c r="C12" i="12"/>
  <c r="F9" i="12"/>
  <c r="C10" i="12"/>
  <c r="D14" i="12"/>
  <c r="E9" i="12"/>
  <c r="E15" i="12" s="1"/>
  <c r="C14" i="12"/>
  <c r="F11" i="12"/>
  <c r="D9" i="12"/>
  <c r="B14" i="12"/>
  <c r="E11" i="12"/>
  <c r="C9" i="12"/>
  <c r="F13" i="12"/>
  <c r="D11" i="12"/>
  <c r="B9" i="12"/>
  <c r="E13" i="12"/>
  <c r="C11" i="12"/>
  <c r="D13" i="12"/>
  <c r="B11" i="12"/>
  <c r="C13" i="12"/>
  <c r="F10" i="12"/>
  <c r="D10" i="12"/>
  <c r="B13" i="12"/>
  <c r="E10" i="12"/>
  <c r="F12" i="12"/>
  <c r="F15" i="9"/>
  <c r="W13" i="2"/>
  <c r="L10" i="18"/>
  <c r="L26" i="8" s="1"/>
  <c r="L11" i="18"/>
  <c r="L27" i="8" s="1"/>
  <c r="L12" i="18"/>
  <c r="L28" i="8" s="1"/>
  <c r="L13" i="18"/>
  <c r="L29" i="8" s="1"/>
  <c r="L14" i="18"/>
  <c r="L30" i="8" s="1"/>
  <c r="C4" i="3"/>
  <c r="N13" i="2"/>
  <c r="Y13" i="2"/>
  <c r="X13" i="2"/>
  <c r="U13" i="2"/>
  <c r="T13" i="2"/>
  <c r="S13" i="2"/>
  <c r="R13" i="2"/>
  <c r="P13" i="2"/>
  <c r="O13" i="2"/>
  <c r="M13" i="2"/>
  <c r="K13" i="2"/>
  <c r="J13" i="2"/>
  <c r="D13" i="2"/>
  <c r="E13" i="2"/>
  <c r="F13" i="2"/>
  <c r="G13" i="2"/>
  <c r="H13" i="2"/>
  <c r="C13" i="2"/>
  <c r="B15" i="14" l="1"/>
  <c r="F15" i="14"/>
  <c r="E15" i="17"/>
  <c r="B15" i="17"/>
  <c r="F15" i="17"/>
  <c r="C15" i="17"/>
  <c r="J15" i="17" s="1"/>
  <c r="Q46" i="8" s="1"/>
  <c r="D15" i="17"/>
  <c r="B15" i="16"/>
  <c r="F15" i="16"/>
  <c r="D15" i="16"/>
  <c r="C15" i="16"/>
  <c r="C15" i="14"/>
  <c r="D15" i="14"/>
  <c r="B15" i="12"/>
  <c r="F15" i="12"/>
  <c r="C15" i="12"/>
  <c r="D15" i="12"/>
  <c r="M12" i="18"/>
  <c r="M28" i="8" s="1"/>
  <c r="K14" i="18"/>
  <c r="K30" i="8" s="1"/>
  <c r="K12" i="18"/>
  <c r="K28" i="8" s="1"/>
  <c r="K13" i="18"/>
  <c r="K29" i="8" s="1"/>
  <c r="K11" i="18"/>
  <c r="K27" i="8" s="1"/>
  <c r="K10" i="18"/>
  <c r="K26" i="8" s="1"/>
  <c r="B4" i="8"/>
  <c r="L15" i="17"/>
  <c r="S46" i="8" s="1"/>
  <c r="L15" i="16"/>
  <c r="S31" i="8" s="1"/>
  <c r="J15" i="16"/>
  <c r="Q31" i="8" s="1"/>
  <c r="J15" i="15"/>
  <c r="Q16" i="8" s="1"/>
  <c r="L15" i="15"/>
  <c r="S16" i="8" s="1"/>
  <c r="C15" i="9"/>
  <c r="B25" i="1"/>
  <c r="I14" i="17" s="1"/>
  <c r="P45" i="8" s="1"/>
  <c r="C25" i="1"/>
  <c r="D25" i="1"/>
  <c r="E25" i="1"/>
  <c r="F25" i="1"/>
  <c r="C20" i="1"/>
  <c r="J9" i="17" s="1"/>
  <c r="Q40" i="8" s="1"/>
  <c r="D20" i="1"/>
  <c r="E20" i="1"/>
  <c r="F20" i="1"/>
  <c r="C21" i="1"/>
  <c r="D21" i="1"/>
  <c r="E21" i="1"/>
  <c r="F21" i="1"/>
  <c r="C22" i="1"/>
  <c r="D22" i="1"/>
  <c r="K11" i="16" s="1"/>
  <c r="R27" i="8" s="1"/>
  <c r="E22" i="1"/>
  <c r="F22" i="1"/>
  <c r="C23" i="1"/>
  <c r="D23" i="1"/>
  <c r="E23" i="1"/>
  <c r="C24" i="1"/>
  <c r="J13" i="9" s="1"/>
  <c r="C29" i="8" s="1"/>
  <c r="D24" i="1"/>
  <c r="K13" i="15" s="1"/>
  <c r="R14" i="8" s="1"/>
  <c r="E24" i="1"/>
  <c r="F24" i="1"/>
  <c r="B21" i="1"/>
  <c r="I10" i="14" s="1"/>
  <c r="I41" i="8" s="1"/>
  <c r="B22" i="1"/>
  <c r="B23" i="1"/>
  <c r="I13" i="18"/>
  <c r="I29" i="8" s="1"/>
  <c r="F9" i="1"/>
  <c r="F23" i="1" s="1"/>
  <c r="M15" i="18" l="1"/>
  <c r="M31" i="8" s="1"/>
  <c r="L9" i="18"/>
  <c r="L25" i="8" s="1"/>
  <c r="L15" i="18"/>
  <c r="L31" i="8" s="1"/>
  <c r="K9" i="14"/>
  <c r="K40" i="8" s="1"/>
  <c r="L12" i="12"/>
  <c r="L13" i="8" s="1"/>
  <c r="E15" i="9"/>
  <c r="L15" i="9" s="1"/>
  <c r="E31" i="8" s="1"/>
  <c r="I12" i="15"/>
  <c r="P13" i="8" s="1"/>
  <c r="I12" i="9"/>
  <c r="B28" i="8" s="1"/>
  <c r="I12" i="17"/>
  <c r="P43" i="8" s="1"/>
  <c r="I12" i="10"/>
  <c r="B43" i="8" s="1"/>
  <c r="B26" i="1"/>
  <c r="I15" i="18" s="1"/>
  <c r="I31" i="8" s="1"/>
  <c r="F26" i="1"/>
  <c r="M15" i="14" s="1"/>
  <c r="M46" i="8" s="1"/>
  <c r="K12" i="17"/>
  <c r="R43" i="8" s="1"/>
  <c r="K10" i="17"/>
  <c r="R41" i="8" s="1"/>
  <c r="K10" i="16"/>
  <c r="R26" i="8" s="1"/>
  <c r="K12" i="12"/>
  <c r="K13" i="8" s="1"/>
  <c r="I10" i="16"/>
  <c r="P26" i="8" s="1"/>
  <c r="I13" i="16"/>
  <c r="P29" i="8" s="1"/>
  <c r="D26" i="1"/>
  <c r="L9" i="15"/>
  <c r="S10" i="8" s="1"/>
  <c r="I12" i="12"/>
  <c r="I13" i="8" s="1"/>
  <c r="I14" i="14"/>
  <c r="I45" i="8" s="1"/>
  <c r="I14" i="15"/>
  <c r="P15" i="8" s="1"/>
  <c r="K12" i="9"/>
  <c r="D28" i="8" s="1"/>
  <c r="I13" i="14"/>
  <c r="I44" i="8" s="1"/>
  <c r="K11" i="12"/>
  <c r="K12" i="8" s="1"/>
  <c r="E26" i="1"/>
  <c r="I13" i="17"/>
  <c r="P44" i="8" s="1"/>
  <c r="K12" i="10"/>
  <c r="D43" i="8" s="1"/>
  <c r="K10" i="12"/>
  <c r="K11" i="8" s="1"/>
  <c r="K11" i="15"/>
  <c r="R12" i="8" s="1"/>
  <c r="K11" i="17"/>
  <c r="R42" i="8" s="1"/>
  <c r="I12" i="14"/>
  <c r="I43" i="8" s="1"/>
  <c r="K11" i="9"/>
  <c r="D27" i="8" s="1"/>
  <c r="J10" i="16"/>
  <c r="Q26" i="8" s="1"/>
  <c r="J10" i="14"/>
  <c r="J41" i="8" s="1"/>
  <c r="J10" i="12"/>
  <c r="J11" i="8" s="1"/>
  <c r="J10" i="10"/>
  <c r="C41" i="8" s="1"/>
  <c r="J10" i="17"/>
  <c r="Q41" i="8" s="1"/>
  <c r="J10" i="15"/>
  <c r="Q11" i="8" s="1"/>
  <c r="J10" i="9"/>
  <c r="C26" i="8" s="1"/>
  <c r="J10" i="3"/>
  <c r="C11" i="8" s="1"/>
  <c r="K14" i="16"/>
  <c r="R30" i="8" s="1"/>
  <c r="K14" i="15"/>
  <c r="R15" i="8" s="1"/>
  <c r="J12" i="12"/>
  <c r="J13" i="8" s="1"/>
  <c r="J12" i="9"/>
  <c r="C28" i="8" s="1"/>
  <c r="J12" i="16"/>
  <c r="Q28" i="8" s="1"/>
  <c r="K13" i="14"/>
  <c r="K44" i="8" s="1"/>
  <c r="K14" i="9"/>
  <c r="D30" i="8" s="1"/>
  <c r="J13" i="16"/>
  <c r="Q29" i="8" s="1"/>
  <c r="J13" i="17"/>
  <c r="Q44" i="8" s="1"/>
  <c r="J13" i="14"/>
  <c r="J44" i="8" s="1"/>
  <c r="J13" i="12"/>
  <c r="J14" i="8" s="1"/>
  <c r="J13" i="15"/>
  <c r="Q14" i="8" s="1"/>
  <c r="M11" i="16"/>
  <c r="T27" i="8" s="1"/>
  <c r="M11" i="15"/>
  <c r="T12" i="8" s="1"/>
  <c r="M11" i="14"/>
  <c r="M42" i="8" s="1"/>
  <c r="M11" i="17"/>
  <c r="T42" i="8" s="1"/>
  <c r="M11" i="10"/>
  <c r="F42" i="8" s="1"/>
  <c r="M11" i="12"/>
  <c r="M12" i="8" s="1"/>
  <c r="M11" i="9"/>
  <c r="F27" i="8" s="1"/>
  <c r="M11" i="3"/>
  <c r="F12" i="8" s="1"/>
  <c r="M10" i="12"/>
  <c r="M11" i="8" s="1"/>
  <c r="M10" i="17"/>
  <c r="T41" i="8" s="1"/>
  <c r="M10" i="15"/>
  <c r="T11" i="8" s="1"/>
  <c r="M10" i="9"/>
  <c r="F26" i="8" s="1"/>
  <c r="M10" i="16"/>
  <c r="T26" i="8" s="1"/>
  <c r="M10" i="10"/>
  <c r="F41" i="8" s="1"/>
  <c r="M10" i="14"/>
  <c r="M41" i="8" s="1"/>
  <c r="M10" i="3"/>
  <c r="F11" i="8" s="1"/>
  <c r="M9" i="15"/>
  <c r="T10" i="8" s="1"/>
  <c r="M9" i="16"/>
  <c r="T25" i="8" s="1"/>
  <c r="M9" i="14"/>
  <c r="M40" i="8" s="1"/>
  <c r="M9" i="10"/>
  <c r="F40" i="8" s="1"/>
  <c r="M9" i="9"/>
  <c r="F25" i="8" s="1"/>
  <c r="M9" i="12"/>
  <c r="M10" i="8" s="1"/>
  <c r="M9" i="17"/>
  <c r="T40" i="8" s="1"/>
  <c r="M9" i="3"/>
  <c r="F10" i="8" s="1"/>
  <c r="J9" i="12"/>
  <c r="J10" i="8" s="1"/>
  <c r="K13" i="16"/>
  <c r="R29" i="8" s="1"/>
  <c r="I10" i="15"/>
  <c r="P11" i="8" s="1"/>
  <c r="M15" i="10"/>
  <c r="F46" i="8" s="1"/>
  <c r="M15" i="9"/>
  <c r="F31" i="8" s="1"/>
  <c r="K14" i="17"/>
  <c r="R45" i="8" s="1"/>
  <c r="K14" i="10"/>
  <c r="D45" i="8" s="1"/>
  <c r="J11" i="9"/>
  <c r="C27" i="8" s="1"/>
  <c r="J12" i="14"/>
  <c r="J43" i="8" s="1"/>
  <c r="I10" i="10"/>
  <c r="B41" i="8" s="1"/>
  <c r="J11" i="15"/>
  <c r="Q12" i="8" s="1"/>
  <c r="M13" i="12"/>
  <c r="M14" i="8" s="1"/>
  <c r="M13" i="15"/>
  <c r="T14" i="8" s="1"/>
  <c r="M13" i="14"/>
  <c r="M44" i="8" s="1"/>
  <c r="M13" i="16"/>
  <c r="T29" i="8" s="1"/>
  <c r="M13" i="9"/>
  <c r="F29" i="8" s="1"/>
  <c r="M13" i="17"/>
  <c r="T44" i="8" s="1"/>
  <c r="M13" i="10"/>
  <c r="F44" i="8" s="1"/>
  <c r="M13" i="3"/>
  <c r="F14" i="8" s="1"/>
  <c r="L12" i="16"/>
  <c r="S28" i="8" s="1"/>
  <c r="L12" i="17"/>
  <c r="S43" i="8" s="1"/>
  <c r="L12" i="10"/>
  <c r="E43" i="8" s="1"/>
  <c r="L12" i="15"/>
  <c r="S13" i="8" s="1"/>
  <c r="L12" i="9"/>
  <c r="E28" i="8" s="1"/>
  <c r="L12" i="14"/>
  <c r="L43" i="8" s="1"/>
  <c r="L11" i="10"/>
  <c r="E42" i="8" s="1"/>
  <c r="L11" i="17"/>
  <c r="S42" i="8" s="1"/>
  <c r="L11" i="14"/>
  <c r="L42" i="8" s="1"/>
  <c r="L11" i="12"/>
  <c r="L12" i="8" s="1"/>
  <c r="L11" i="16"/>
  <c r="S27" i="8" s="1"/>
  <c r="L11" i="9"/>
  <c r="E27" i="8" s="1"/>
  <c r="L10" i="14"/>
  <c r="L41" i="8" s="1"/>
  <c r="L10" i="12"/>
  <c r="L11" i="8" s="1"/>
  <c r="L10" i="9"/>
  <c r="E26" i="8" s="1"/>
  <c r="L10" i="16"/>
  <c r="S26" i="8" s="1"/>
  <c r="L10" i="15"/>
  <c r="S11" i="8" s="1"/>
  <c r="L10" i="17"/>
  <c r="S41" i="8" s="1"/>
  <c r="L10" i="10"/>
  <c r="E41" i="8" s="1"/>
  <c r="M14" i="17"/>
  <c r="T45" i="8" s="1"/>
  <c r="M14" i="16"/>
  <c r="T30" i="8" s="1"/>
  <c r="M14" i="15"/>
  <c r="T15" i="8" s="1"/>
  <c r="M14" i="14"/>
  <c r="M45" i="8" s="1"/>
  <c r="M14" i="12"/>
  <c r="M15" i="8" s="1"/>
  <c r="M14" i="10"/>
  <c r="F45" i="8" s="1"/>
  <c r="M14" i="9"/>
  <c r="F30" i="8" s="1"/>
  <c r="M14" i="3"/>
  <c r="F15" i="8" s="1"/>
  <c r="L9" i="16"/>
  <c r="S25" i="8" s="1"/>
  <c r="L9" i="17"/>
  <c r="S40" i="8" s="1"/>
  <c r="K13" i="17"/>
  <c r="R44" i="8" s="1"/>
  <c r="L11" i="15"/>
  <c r="S12" i="8" s="1"/>
  <c r="I13" i="15"/>
  <c r="P14" i="8" s="1"/>
  <c r="J11" i="12"/>
  <c r="J12" i="8" s="1"/>
  <c r="I14" i="10"/>
  <c r="B45" i="8" s="1"/>
  <c r="I10" i="9"/>
  <c r="B26" i="8" s="1"/>
  <c r="J11" i="17"/>
  <c r="Q42" i="8" s="1"/>
  <c r="I12" i="16"/>
  <c r="P28" i="8" s="1"/>
  <c r="K14" i="14"/>
  <c r="K45" i="8" s="1"/>
  <c r="I13" i="12"/>
  <c r="I14" i="8" s="1"/>
  <c r="K13" i="10"/>
  <c r="D44" i="8" s="1"/>
  <c r="K10" i="9"/>
  <c r="D26" i="8" s="1"/>
  <c r="K12" i="16"/>
  <c r="R28" i="8" s="1"/>
  <c r="K10" i="15"/>
  <c r="R11" i="8" s="1"/>
  <c r="J11" i="10"/>
  <c r="C42" i="8" s="1"/>
  <c r="M15" i="17"/>
  <c r="T46" i="8" s="1"/>
  <c r="M15" i="16"/>
  <c r="T31" i="8" s="1"/>
  <c r="K12" i="15"/>
  <c r="R13" i="8" s="1"/>
  <c r="J11" i="14"/>
  <c r="J42" i="8" s="1"/>
  <c r="I14" i="12"/>
  <c r="I15" i="8" s="1"/>
  <c r="I14" i="9"/>
  <c r="B30" i="8" s="1"/>
  <c r="I11" i="17"/>
  <c r="P42" i="8" s="1"/>
  <c r="I11" i="16"/>
  <c r="P27" i="8" s="1"/>
  <c r="I11" i="15"/>
  <c r="P12" i="8" s="1"/>
  <c r="I11" i="9"/>
  <c r="B27" i="8" s="1"/>
  <c r="I11" i="10"/>
  <c r="B42" i="8" s="1"/>
  <c r="I11" i="14"/>
  <c r="I42" i="8" s="1"/>
  <c r="I11" i="12"/>
  <c r="I12" i="8" s="1"/>
  <c r="I11" i="3"/>
  <c r="B12" i="8" s="1"/>
  <c r="J9" i="9"/>
  <c r="C25" i="8" s="1"/>
  <c r="J12" i="15"/>
  <c r="Q13" i="8" s="1"/>
  <c r="J14" i="12"/>
  <c r="J15" i="8" s="1"/>
  <c r="J14" i="17"/>
  <c r="Q45" i="8" s="1"/>
  <c r="J14" i="16"/>
  <c r="Q30" i="8" s="1"/>
  <c r="J14" i="9"/>
  <c r="C30" i="8" s="1"/>
  <c r="J14" i="10"/>
  <c r="C45" i="8" s="1"/>
  <c r="J14" i="15"/>
  <c r="Q15" i="8" s="1"/>
  <c r="J14" i="14"/>
  <c r="J45" i="8" s="1"/>
  <c r="J14" i="3"/>
  <c r="C15" i="8" s="1"/>
  <c r="J13" i="10"/>
  <c r="C44" i="8" s="1"/>
  <c r="M12" i="16"/>
  <c r="T28" i="8" s="1"/>
  <c r="M12" i="9"/>
  <c r="F28" i="8" s="1"/>
  <c r="M12" i="17"/>
  <c r="T43" i="8" s="1"/>
  <c r="M12" i="15"/>
  <c r="T13" i="8" s="1"/>
  <c r="M12" i="14"/>
  <c r="M43" i="8" s="1"/>
  <c r="M12" i="10"/>
  <c r="F43" i="8" s="1"/>
  <c r="M12" i="12"/>
  <c r="M13" i="8" s="1"/>
  <c r="L13" i="9"/>
  <c r="E29" i="8" s="1"/>
  <c r="L13" i="15"/>
  <c r="S14" i="8" s="1"/>
  <c r="L13" i="17"/>
  <c r="S44" i="8" s="1"/>
  <c r="L13" i="14"/>
  <c r="L44" i="8" s="1"/>
  <c r="L13" i="10"/>
  <c r="E44" i="8" s="1"/>
  <c r="L13" i="12"/>
  <c r="L14" i="8" s="1"/>
  <c r="L13" i="16"/>
  <c r="S29" i="8" s="1"/>
  <c r="L14" i="9"/>
  <c r="E30" i="8" s="1"/>
  <c r="L14" i="12"/>
  <c r="L15" i="8" s="1"/>
  <c r="L14" i="14"/>
  <c r="L45" i="8" s="1"/>
  <c r="L14" i="10"/>
  <c r="E45" i="8" s="1"/>
  <c r="L14" i="17"/>
  <c r="S45" i="8" s="1"/>
  <c r="L14" i="16"/>
  <c r="S30" i="8" s="1"/>
  <c r="L14" i="15"/>
  <c r="S15" i="8" s="1"/>
  <c r="C26" i="1"/>
  <c r="J15" i="10" s="1"/>
  <c r="C46" i="8" s="1"/>
  <c r="J9" i="10"/>
  <c r="C40" i="8" s="1"/>
  <c r="J9" i="14"/>
  <c r="J40" i="8" s="1"/>
  <c r="J9" i="15"/>
  <c r="J9" i="16"/>
  <c r="Q25" i="8" s="1"/>
  <c r="J11" i="16"/>
  <c r="Q27" i="8" s="1"/>
  <c r="M15" i="15"/>
  <c r="T16" i="8" s="1"/>
  <c r="K12" i="14"/>
  <c r="K43" i="8" s="1"/>
  <c r="K13" i="12"/>
  <c r="K14" i="8" s="1"/>
  <c r="K11" i="10"/>
  <c r="D42" i="8" s="1"/>
  <c r="K13" i="9"/>
  <c r="D29" i="8" s="1"/>
  <c r="J12" i="17"/>
  <c r="Q43" i="8" s="1"/>
  <c r="I14" i="16"/>
  <c r="P30" i="8" s="1"/>
  <c r="K11" i="14"/>
  <c r="K42" i="8" s="1"/>
  <c r="I10" i="12"/>
  <c r="I11" i="8" s="1"/>
  <c r="I13" i="10"/>
  <c r="B44" i="8" s="1"/>
  <c r="I10" i="17"/>
  <c r="P41" i="8" s="1"/>
  <c r="M15" i="12"/>
  <c r="M16" i="8" s="1"/>
  <c r="J12" i="10"/>
  <c r="C43" i="8" s="1"/>
  <c r="K10" i="14"/>
  <c r="K41" i="8" s="1"/>
  <c r="K14" i="12"/>
  <c r="K15" i="8" s="1"/>
  <c r="K10" i="10"/>
  <c r="D41" i="8" s="1"/>
  <c r="I13" i="9"/>
  <c r="B29" i="8" s="1"/>
  <c r="I9" i="17"/>
  <c r="P40" i="8" s="1"/>
  <c r="K15" i="17"/>
  <c r="R46" i="8" s="1"/>
  <c r="K9" i="17"/>
  <c r="R40" i="8" s="1"/>
  <c r="I9" i="16"/>
  <c r="P25" i="8" s="1"/>
  <c r="K9" i="16"/>
  <c r="R25" i="8" s="1"/>
  <c r="K15" i="16"/>
  <c r="R31" i="8" s="1"/>
  <c r="K9" i="15"/>
  <c r="R10" i="8" s="1"/>
  <c r="K15" i="15"/>
  <c r="R16" i="8" s="1"/>
  <c r="I9" i="15"/>
  <c r="P10" i="8" s="1"/>
  <c r="I9" i="14"/>
  <c r="I40" i="8" s="1"/>
  <c r="K15" i="14"/>
  <c r="K46" i="8" s="1"/>
  <c r="I9" i="12"/>
  <c r="I10" i="8" s="1"/>
  <c r="K9" i="12"/>
  <c r="K10" i="8" s="1"/>
  <c r="K15" i="12"/>
  <c r="K16" i="8" s="1"/>
  <c r="I9" i="10"/>
  <c r="B40" i="8" s="1"/>
  <c r="K15" i="10"/>
  <c r="D46" i="8" s="1"/>
  <c r="K9" i="10"/>
  <c r="D40" i="8" s="1"/>
  <c r="I9" i="9"/>
  <c r="B25" i="8" s="1"/>
  <c r="K9" i="9"/>
  <c r="D25" i="8" s="1"/>
  <c r="D15" i="9"/>
  <c r="K15" i="9" s="1"/>
  <c r="D31" i="8" s="1"/>
  <c r="I10" i="3"/>
  <c r="B11" i="8" s="1"/>
  <c r="J12" i="3"/>
  <c r="C13" i="8" s="1"/>
  <c r="K10" i="3"/>
  <c r="D11" i="8" s="1"/>
  <c r="K14" i="3"/>
  <c r="D15" i="8" s="1"/>
  <c r="K12" i="3"/>
  <c r="D13" i="8" s="1"/>
  <c r="I9" i="3"/>
  <c r="B10" i="8" s="1"/>
  <c r="J13" i="3"/>
  <c r="C14" i="8" s="1"/>
  <c r="K9" i="3"/>
  <c r="D10" i="8" s="1"/>
  <c r="K13" i="3"/>
  <c r="D14" i="8" s="1"/>
  <c r="J9" i="3"/>
  <c r="C10" i="8" s="1"/>
  <c r="J11" i="3"/>
  <c r="C12" i="8" s="1"/>
  <c r="L9" i="3"/>
  <c r="E10" i="8" s="1"/>
  <c r="L11" i="3"/>
  <c r="E12" i="8" s="1"/>
  <c r="L13" i="3"/>
  <c r="E14" i="8" s="1"/>
  <c r="L10" i="3"/>
  <c r="E11" i="8" s="1"/>
  <c r="L12" i="3"/>
  <c r="E13" i="8" s="1"/>
  <c r="L14" i="3"/>
  <c r="E15" i="8" s="1"/>
  <c r="M12" i="3"/>
  <c r="F13" i="8" s="1"/>
  <c r="K11" i="3"/>
  <c r="D12" i="8" s="1"/>
  <c r="I15" i="14" l="1"/>
  <c r="I46" i="8" s="1"/>
  <c r="I15" i="16"/>
  <c r="P31" i="8" s="1"/>
  <c r="I15" i="12"/>
  <c r="I16" i="8" s="1"/>
  <c r="L9" i="9"/>
  <c r="E25" i="8" s="1"/>
  <c r="L9" i="10"/>
  <c r="E40" i="8" s="1"/>
  <c r="K9" i="18"/>
  <c r="K25" i="8" s="1"/>
  <c r="K15" i="18"/>
  <c r="K31" i="8" s="1"/>
  <c r="L15" i="12"/>
  <c r="L16" i="8" s="1"/>
  <c r="I15" i="17"/>
  <c r="P46" i="8" s="1"/>
  <c r="L15" i="10"/>
  <c r="E46" i="8" s="1"/>
  <c r="F15" i="3"/>
  <c r="M15" i="3" s="1"/>
  <c r="F16" i="8" s="1"/>
  <c r="I15" i="15"/>
  <c r="P16" i="8" s="1"/>
  <c r="L9" i="12"/>
  <c r="L10" i="8" s="1"/>
  <c r="I15" i="10"/>
  <c r="B46" i="8" s="1"/>
  <c r="B15" i="9"/>
  <c r="I15" i="9" s="1"/>
  <c r="B31" i="8" s="1"/>
  <c r="L9" i="14"/>
  <c r="L40" i="8" s="1"/>
  <c r="L15" i="14"/>
  <c r="L46" i="8" s="1"/>
  <c r="J15" i="12"/>
  <c r="J16" i="8" s="1"/>
  <c r="J15" i="14"/>
  <c r="J46" i="8" s="1"/>
  <c r="J15" i="9"/>
  <c r="C31" i="8" s="1"/>
  <c r="D15" i="3"/>
  <c r="K15" i="3" s="1"/>
  <c r="D16" i="8" s="1"/>
  <c r="E15" i="3"/>
  <c r="L15" i="3" s="1"/>
  <c r="E16" i="8" s="1"/>
  <c r="C15" i="3"/>
  <c r="J15" i="3" s="1"/>
  <c r="C16" i="8" s="1"/>
  <c r="I14" i="3" l="1"/>
  <c r="B15" i="8" s="1"/>
  <c r="I12" i="3"/>
  <c r="B13" i="8" s="1"/>
  <c r="I13" i="3"/>
  <c r="B14" i="8" s="1"/>
  <c r="B15" i="3" l="1"/>
  <c r="I15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Alexandre Macedo</author>
  </authors>
  <commentList>
    <comment ref="E5" authorId="0" shapeId="0" xr:uid="{D5B55850-E1DE-48AF-9255-D5E20688546A}">
      <text>
        <r>
          <rPr>
            <b/>
            <sz val="9"/>
            <color indexed="81"/>
            <rFont val="Segoe UI"/>
            <family val="2"/>
          </rPr>
          <t>Alexandre Macedo:</t>
        </r>
        <r>
          <rPr>
            <sz val="9"/>
            <color indexed="81"/>
            <rFont val="Segoe UI"/>
            <family val="2"/>
          </rPr>
          <t xml:space="preserve">
K0 expressa o multiplicador de preço unitário para captação (inferior a 1,0 (um) e definido pelo Inea. 
Definido como 0,4 pela Lei Estadual 4247/2003. </t>
        </r>
      </text>
    </comment>
    <comment ref="F5" authorId="0" shapeId="0" xr:uid="{FC7C224C-182B-41CC-B0C5-D34456240B62}">
      <text>
        <r>
          <rPr>
            <b/>
            <sz val="9"/>
            <color indexed="81"/>
            <rFont val="Segoe UI"/>
            <family val="2"/>
          </rPr>
          <t>Alexandre Macedo:</t>
        </r>
        <r>
          <rPr>
            <sz val="9"/>
            <color indexed="81"/>
            <rFont val="Segoe UI"/>
            <family val="2"/>
          </rPr>
          <t xml:space="preserve">
</t>
        </r>
        <r>
          <rPr>
            <b/>
            <sz val="9"/>
            <color indexed="81"/>
            <rFont val="Segoe UI"/>
            <family val="2"/>
          </rPr>
          <t>K1:</t>
        </r>
        <r>
          <rPr>
            <sz val="9"/>
            <color indexed="81"/>
            <rFont val="Segoe UI"/>
            <family val="2"/>
          </rPr>
          <t xml:space="preserve"> expressa o coeficiente de consumo para a atividade do usuário em questão, ou seja, a relação entre o volume consumido e o volume captado pelo usuário ou o índice correspondente à parte do volume captado que não retorna ao manancial.
Definido como: (1 - coeficiente de retorno)</t>
        </r>
      </text>
    </comment>
    <comment ref="G5" authorId="0" shapeId="0" xr:uid="{08AF7277-3747-4F32-85F3-0FD839DCD04E}">
      <text>
        <r>
          <rPr>
            <b/>
            <sz val="9"/>
            <color indexed="81"/>
            <rFont val="Segoe UI"/>
            <family val="2"/>
          </rPr>
          <t>Alexandre Macedo:</t>
        </r>
        <r>
          <rPr>
            <sz val="9"/>
            <color indexed="81"/>
            <rFont val="Segoe UI"/>
            <family val="2"/>
          </rPr>
          <t xml:space="preserve">
</t>
        </r>
        <r>
          <rPr>
            <b/>
            <sz val="9"/>
            <color indexed="81"/>
            <rFont val="Segoe UI"/>
            <family val="2"/>
          </rPr>
          <t>K2:</t>
        </r>
        <r>
          <rPr>
            <sz val="9"/>
            <color indexed="81"/>
            <rFont val="Segoe UI"/>
            <family val="2"/>
          </rPr>
          <t xml:space="preserve"> expressa o percentual do volume de efluentes tratados em relação ao volume total de efluentes produzidos ou o índice de cobertura de tratamento de efluentes doméstico ou industrial, ou seja, a relação entre a vazão efluente tratada e a vazão efluente bruta.
Nas outorgas de captação: desconsiderado, uma vez que não é realizado lançamento.
Nas outorgas de lançamento: adotado valor de 1, considerando que toda a vazão da ETE é tratada.</t>
        </r>
      </text>
    </comment>
    <comment ref="H5" authorId="0" shapeId="0" xr:uid="{6D19D357-5B0F-423E-80AE-FF3A8179551C}">
      <text>
        <r>
          <rPr>
            <b/>
            <sz val="9"/>
            <color indexed="81"/>
            <rFont val="Segoe UI"/>
            <family val="2"/>
          </rPr>
          <t>Alexandre Macedo:</t>
        </r>
        <r>
          <rPr>
            <sz val="9"/>
            <color indexed="81"/>
            <rFont val="Segoe UI"/>
            <family val="2"/>
          </rPr>
          <t xml:space="preserve">
</t>
        </r>
        <r>
          <rPr>
            <b/>
            <sz val="9"/>
            <color indexed="81"/>
            <rFont val="Segoe UI"/>
            <family val="2"/>
          </rPr>
          <t>K3:</t>
        </r>
        <r>
          <rPr>
            <sz val="9"/>
            <color indexed="81"/>
            <rFont val="Segoe UI"/>
            <family val="2"/>
          </rPr>
          <t xml:space="preserve"> expressa o nível de eficiência de redução de DBO (Demanda Bioquímica de Oxigênio) na Estação de Tratamento de Efluentes.
</t>
        </r>
        <r>
          <rPr>
            <b/>
            <sz val="9"/>
            <color indexed="81"/>
            <rFont val="Segoe UI"/>
            <family val="2"/>
          </rPr>
          <t>Nas outorgas de captação:</t>
        </r>
        <r>
          <rPr>
            <sz val="9"/>
            <color indexed="81"/>
            <rFont val="Segoe UI"/>
            <family val="2"/>
          </rPr>
          <t xml:space="preserve"> desconsiderado, uma vez que não é realizado lançamento.
</t>
        </r>
        <r>
          <rPr>
            <b/>
            <sz val="9"/>
            <color indexed="81"/>
            <rFont val="Segoe UI"/>
            <family val="2"/>
          </rPr>
          <t xml:space="preserve">Nas outorgas de lançamento: </t>
        </r>
        <r>
          <rPr>
            <sz val="9"/>
            <color indexed="81"/>
            <rFont val="Segoe UI"/>
            <family val="2"/>
          </rPr>
          <t>Varia de acordo com a relação DBO Efluente Bruto e DBO Efluente Tratado do CNARH.</t>
        </r>
      </text>
    </comment>
    <comment ref="E21" authorId="0" shapeId="0" xr:uid="{505E315C-DCFC-41F6-8B60-A044215C59C7}">
      <text>
        <r>
          <rPr>
            <b/>
            <sz val="9"/>
            <color indexed="81"/>
            <rFont val="Segoe UI"/>
            <family val="2"/>
          </rPr>
          <t>Alexandre Macedo:</t>
        </r>
        <r>
          <rPr>
            <sz val="9"/>
            <color indexed="81"/>
            <rFont val="Segoe UI"/>
            <family val="2"/>
          </rPr>
          <t xml:space="preserve">
K0 expressa o multiplicador de preço unitário para captação (inferior a 1,0 (um) e definido pelo Inea. 
Definido como 0,4 pela Lei Estadual 4247/2003. </t>
        </r>
      </text>
    </comment>
    <comment ref="F21" authorId="0" shapeId="0" xr:uid="{02A6A964-BF56-4872-89EC-A0A3C54BBDED}">
      <text>
        <r>
          <rPr>
            <b/>
            <sz val="9"/>
            <color indexed="81"/>
            <rFont val="Segoe UI"/>
            <family val="2"/>
          </rPr>
          <t>Alexandre Macedo:</t>
        </r>
        <r>
          <rPr>
            <sz val="9"/>
            <color indexed="81"/>
            <rFont val="Segoe UI"/>
            <family val="2"/>
          </rPr>
          <t xml:space="preserve">
</t>
        </r>
        <r>
          <rPr>
            <b/>
            <sz val="9"/>
            <color indexed="81"/>
            <rFont val="Segoe UI"/>
            <family val="2"/>
          </rPr>
          <t>K1:</t>
        </r>
        <r>
          <rPr>
            <sz val="9"/>
            <color indexed="81"/>
            <rFont val="Segoe UI"/>
            <family val="2"/>
          </rPr>
          <t xml:space="preserve"> expressa o coeficiente de consumo para a atividade do usuário em questão, ou seja, a relação entre o volume consumido e o volume captado pelo usuário ou o índice correspondente à parte do volume captado que não retorna ao manancial.
Definido como: (1 - coeficiente de retorno)</t>
        </r>
      </text>
    </comment>
    <comment ref="G21" authorId="0" shapeId="0" xr:uid="{32D3C850-2F95-4595-AB08-4CE27AB69C30}">
      <text>
        <r>
          <rPr>
            <b/>
            <sz val="9"/>
            <color indexed="81"/>
            <rFont val="Segoe UI"/>
            <family val="2"/>
          </rPr>
          <t>Alexandre Macedo:</t>
        </r>
        <r>
          <rPr>
            <sz val="9"/>
            <color indexed="81"/>
            <rFont val="Segoe UI"/>
            <family val="2"/>
          </rPr>
          <t xml:space="preserve">
</t>
        </r>
        <r>
          <rPr>
            <b/>
            <sz val="9"/>
            <color indexed="81"/>
            <rFont val="Segoe UI"/>
            <family val="2"/>
          </rPr>
          <t>K2:</t>
        </r>
        <r>
          <rPr>
            <sz val="9"/>
            <color indexed="81"/>
            <rFont val="Segoe UI"/>
            <family val="2"/>
          </rPr>
          <t xml:space="preserve"> expressa o percentual do volume de efluentes tratados em relação ao volume total de efluentes produzidos ou o índice de cobertura de tratamento de efluentes doméstico ou industrial, ou seja, a relação entre a vazão efluente tratada e a vazão efluente bruta.
Nas outorgas de captação: desconsiderado, uma vez que não é realizado lançamento.
Nas outorgas de lançamento: adotado valor de 1, considerando que toda a vazão da ETE é tratada.</t>
        </r>
      </text>
    </comment>
    <comment ref="H21" authorId="0" shapeId="0" xr:uid="{32A8EBE7-4C31-43B6-BCE2-AB5406B401FC}">
      <text>
        <r>
          <rPr>
            <b/>
            <sz val="9"/>
            <color indexed="81"/>
            <rFont val="Segoe UI"/>
            <family val="2"/>
          </rPr>
          <t>Alexandre Macedo:</t>
        </r>
        <r>
          <rPr>
            <sz val="9"/>
            <color indexed="81"/>
            <rFont val="Segoe UI"/>
            <family val="2"/>
          </rPr>
          <t xml:space="preserve">
</t>
        </r>
        <r>
          <rPr>
            <b/>
            <sz val="9"/>
            <color indexed="81"/>
            <rFont val="Segoe UI"/>
            <family val="2"/>
          </rPr>
          <t>K3:</t>
        </r>
        <r>
          <rPr>
            <sz val="9"/>
            <color indexed="81"/>
            <rFont val="Segoe UI"/>
            <family val="2"/>
          </rPr>
          <t xml:space="preserve"> expressa o nível de eficiência de redução de DBO (Demanda Bioquímica de Oxigênio) na Estação de Tratamento de Efluentes.
</t>
        </r>
        <r>
          <rPr>
            <b/>
            <sz val="9"/>
            <color indexed="81"/>
            <rFont val="Segoe UI"/>
            <family val="2"/>
          </rPr>
          <t>Nas outorgas de captação:</t>
        </r>
        <r>
          <rPr>
            <sz val="9"/>
            <color indexed="81"/>
            <rFont val="Segoe UI"/>
            <family val="2"/>
          </rPr>
          <t xml:space="preserve"> desconsiderado, uma vez que não é realizado lançamento.
</t>
        </r>
        <r>
          <rPr>
            <b/>
            <sz val="9"/>
            <color indexed="81"/>
            <rFont val="Segoe UI"/>
            <family val="2"/>
          </rPr>
          <t xml:space="preserve">Nas outorgas de lançamento: </t>
        </r>
        <r>
          <rPr>
            <sz val="9"/>
            <color indexed="81"/>
            <rFont val="Segoe UI"/>
            <family val="2"/>
          </rPr>
          <t>Varia de acordo com a relação DBO Efluente Bruto e DBO Efluente Tratado do CNARH.</t>
        </r>
      </text>
    </comment>
    <comment ref="E51" authorId="0" shapeId="0" xr:uid="{4D4772C6-3B44-44A4-A200-0E66F11213E6}">
      <text>
        <r>
          <rPr>
            <b/>
            <sz val="9"/>
            <color indexed="81"/>
            <rFont val="Segoe UI"/>
            <family val="2"/>
          </rPr>
          <t>Alexandre Macedo:</t>
        </r>
        <r>
          <rPr>
            <sz val="9"/>
            <color indexed="81"/>
            <rFont val="Segoe UI"/>
            <family val="2"/>
          </rPr>
          <t xml:space="preserve">
K0 expressa o multiplicador de preço unitário para captação (inferior a 1,0 (um) e definido pelo Inea. 
Definido como 0,4 pela Lei Estadual 4247/2003. </t>
        </r>
      </text>
    </comment>
    <comment ref="F51" authorId="0" shapeId="0" xr:uid="{A36D6BD3-F8FF-4236-A83E-5D43D4E43569}">
      <text>
        <r>
          <rPr>
            <b/>
            <sz val="9"/>
            <color indexed="81"/>
            <rFont val="Segoe UI"/>
            <family val="2"/>
          </rPr>
          <t>Alexandre Macedo:</t>
        </r>
        <r>
          <rPr>
            <sz val="9"/>
            <color indexed="81"/>
            <rFont val="Segoe UI"/>
            <family val="2"/>
          </rPr>
          <t xml:space="preserve">
</t>
        </r>
        <r>
          <rPr>
            <b/>
            <sz val="9"/>
            <color indexed="81"/>
            <rFont val="Segoe UI"/>
            <family val="2"/>
          </rPr>
          <t>K1:</t>
        </r>
        <r>
          <rPr>
            <sz val="9"/>
            <color indexed="81"/>
            <rFont val="Segoe UI"/>
            <family val="2"/>
          </rPr>
          <t xml:space="preserve"> expressa o coeficiente de consumo para a atividade do usuário em questão, ou seja, a relação entre o volume consumido e o volume captado pelo usuário ou o índice correspondente à parte do volume captado que não retorna ao manancial.
Definido como: (1 - coeficiente de retorno)</t>
        </r>
      </text>
    </comment>
    <comment ref="G51" authorId="0" shapeId="0" xr:uid="{F5176034-D4F5-4EEB-8AA2-A6B4BF143A28}">
      <text>
        <r>
          <rPr>
            <b/>
            <sz val="9"/>
            <color indexed="81"/>
            <rFont val="Segoe UI"/>
            <family val="2"/>
          </rPr>
          <t>Alexandre Macedo:</t>
        </r>
        <r>
          <rPr>
            <sz val="9"/>
            <color indexed="81"/>
            <rFont val="Segoe UI"/>
            <family val="2"/>
          </rPr>
          <t xml:space="preserve">
</t>
        </r>
        <r>
          <rPr>
            <b/>
            <sz val="9"/>
            <color indexed="81"/>
            <rFont val="Segoe UI"/>
            <family val="2"/>
          </rPr>
          <t>K2:</t>
        </r>
        <r>
          <rPr>
            <sz val="9"/>
            <color indexed="81"/>
            <rFont val="Segoe UI"/>
            <family val="2"/>
          </rPr>
          <t xml:space="preserve"> expressa o percentual do volume de efluentes tratados em relação ao volume total de efluentes produzidos ou o índice de cobertura de tratamento de efluentes doméstico ou industrial, ou seja, a relação entre a vazão efluente tratada e a vazão efluente bruta.
Nas outorgas de captação: desconsiderado, uma vez que não é realizado lançamento.
Nas outorgas de lançamento: adotado valor de 1, considerando que toda a vazão da ETE é tratada.</t>
        </r>
      </text>
    </comment>
    <comment ref="H51" authorId="0" shapeId="0" xr:uid="{F3676EC5-A980-42CE-8137-A77C76CED580}">
      <text>
        <r>
          <rPr>
            <b/>
            <sz val="9"/>
            <color indexed="81"/>
            <rFont val="Segoe UI"/>
            <family val="2"/>
          </rPr>
          <t>Alexandre Macedo:</t>
        </r>
        <r>
          <rPr>
            <sz val="9"/>
            <color indexed="81"/>
            <rFont val="Segoe UI"/>
            <family val="2"/>
          </rPr>
          <t xml:space="preserve">
</t>
        </r>
        <r>
          <rPr>
            <b/>
            <sz val="9"/>
            <color indexed="81"/>
            <rFont val="Segoe UI"/>
            <family val="2"/>
          </rPr>
          <t>K3:</t>
        </r>
        <r>
          <rPr>
            <sz val="9"/>
            <color indexed="81"/>
            <rFont val="Segoe UI"/>
            <family val="2"/>
          </rPr>
          <t xml:space="preserve"> expressa o nível de eficiência de redução de DBO (Demanda Bioquímica de Oxigênio) na Estação de Tratamento de Efluentes.
</t>
        </r>
        <r>
          <rPr>
            <b/>
            <sz val="9"/>
            <color indexed="81"/>
            <rFont val="Segoe UI"/>
            <family val="2"/>
          </rPr>
          <t>Nas outorgas de captação:</t>
        </r>
        <r>
          <rPr>
            <sz val="9"/>
            <color indexed="81"/>
            <rFont val="Segoe UI"/>
            <family val="2"/>
          </rPr>
          <t xml:space="preserve"> desconsiderado, uma vez que não é realizado lançamento.
</t>
        </r>
        <r>
          <rPr>
            <b/>
            <sz val="9"/>
            <color indexed="81"/>
            <rFont val="Segoe UI"/>
            <family val="2"/>
          </rPr>
          <t xml:space="preserve">Nas outorgas de lançamento: </t>
        </r>
        <r>
          <rPr>
            <sz val="9"/>
            <color indexed="81"/>
            <rFont val="Segoe UI"/>
            <family val="2"/>
          </rPr>
          <t>Varia de acordo com a relação DBO Efluente Bruto e DBO Efluente Tratado do CNARH.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Marisa Morita</author>
  </authors>
  <commentList>
    <comment ref="B3" authorId="0" shapeId="0" xr:uid="{422E3E0E-57E2-4F87-905C-7E57895C5236}">
      <text>
        <r>
          <rPr>
            <b/>
            <sz val="9"/>
            <color indexed="81"/>
            <rFont val="Segoe UI"/>
            <family val="2"/>
          </rPr>
          <t>Marisa Morita:</t>
        </r>
        <r>
          <rPr>
            <sz val="9"/>
            <color indexed="81"/>
            <rFont val="Segoe UI"/>
            <family val="2"/>
          </rPr>
          <t xml:space="preserve">
Mudar apenas essas células</t>
        </r>
      </text>
    </comment>
    <comment ref="B4" authorId="0" shapeId="0" xr:uid="{ED928CF0-84A6-44FF-AC4D-25494FCC871B}">
      <text>
        <r>
          <rPr>
            <b/>
            <sz val="9"/>
            <color indexed="81"/>
            <rFont val="Segoe UI"/>
            <family val="2"/>
          </rPr>
          <t>Marisa Morita:</t>
        </r>
        <r>
          <rPr>
            <sz val="9"/>
            <color indexed="81"/>
            <rFont val="Segoe UI"/>
            <family val="2"/>
          </rPr>
          <t xml:space="preserve">
Mudar apenas essas células.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Marisa Morita</author>
  </authors>
  <commentList>
    <comment ref="B3" authorId="0" shapeId="0" xr:uid="{0029C24E-FD7A-48DA-9C0F-230E5463A1BE}">
      <text>
        <r>
          <rPr>
            <b/>
            <sz val="9"/>
            <color indexed="81"/>
            <rFont val="Segoe UI"/>
            <family val="2"/>
          </rPr>
          <t>Marisa Morita:</t>
        </r>
        <r>
          <rPr>
            <sz val="9"/>
            <color indexed="81"/>
            <rFont val="Segoe UI"/>
            <family val="2"/>
          </rPr>
          <t xml:space="preserve">
Mudar apenas essas células</t>
        </r>
      </text>
    </comment>
    <comment ref="B4" authorId="0" shapeId="0" xr:uid="{F635D785-6B81-479D-AF36-E34CC7E51BCA}">
      <text>
        <r>
          <rPr>
            <b/>
            <sz val="9"/>
            <color indexed="81"/>
            <rFont val="Segoe UI"/>
            <family val="2"/>
          </rPr>
          <t>Marisa Morita:</t>
        </r>
        <r>
          <rPr>
            <sz val="9"/>
            <color indexed="81"/>
            <rFont val="Segoe UI"/>
            <family val="2"/>
          </rPr>
          <t xml:space="preserve">
Mudar apenas essas células.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Marisa Morita</author>
  </authors>
  <commentList>
    <comment ref="B3" authorId="0" shapeId="0" xr:uid="{9F1151F0-82EB-4564-AD17-8C2EC1A093C0}">
      <text>
        <r>
          <rPr>
            <b/>
            <sz val="9"/>
            <color indexed="81"/>
            <rFont val="Segoe UI"/>
            <family val="2"/>
          </rPr>
          <t>Marisa Morita:</t>
        </r>
        <r>
          <rPr>
            <sz val="9"/>
            <color indexed="81"/>
            <rFont val="Segoe UI"/>
            <family val="2"/>
          </rPr>
          <t xml:space="preserve">
Mudar apenas essas células</t>
        </r>
      </text>
    </comment>
    <comment ref="B4" authorId="0" shapeId="0" xr:uid="{18166B1B-DEC8-494F-947F-EF7ED4237377}">
      <text>
        <r>
          <rPr>
            <b/>
            <sz val="9"/>
            <color indexed="81"/>
            <rFont val="Segoe UI"/>
            <family val="2"/>
          </rPr>
          <t>Marisa Morita:</t>
        </r>
        <r>
          <rPr>
            <sz val="9"/>
            <color indexed="81"/>
            <rFont val="Segoe UI"/>
            <family val="2"/>
          </rPr>
          <t xml:space="preserve">
Mudar apenas essas células.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Marisa Morita</author>
  </authors>
  <commentList>
    <comment ref="B3" authorId="0" shapeId="0" xr:uid="{7DD3786C-E9D1-4E9C-AEC6-EB7B59EBE32E}">
      <text>
        <r>
          <rPr>
            <b/>
            <sz val="9"/>
            <color indexed="81"/>
            <rFont val="Segoe UI"/>
            <family val="2"/>
          </rPr>
          <t>Marisa Morita:</t>
        </r>
        <r>
          <rPr>
            <sz val="9"/>
            <color indexed="81"/>
            <rFont val="Segoe UI"/>
            <family val="2"/>
          </rPr>
          <t xml:space="preserve">
Mudar apenas essas células</t>
        </r>
      </text>
    </comment>
    <comment ref="B4" authorId="0" shapeId="0" xr:uid="{B6252F87-9979-4467-B590-7AA94934717E}">
      <text>
        <r>
          <rPr>
            <b/>
            <sz val="9"/>
            <color indexed="81"/>
            <rFont val="Segoe UI"/>
            <family val="2"/>
          </rPr>
          <t>Marisa Morita:</t>
        </r>
        <r>
          <rPr>
            <sz val="9"/>
            <color indexed="81"/>
            <rFont val="Segoe UI"/>
            <family val="2"/>
          </rPr>
          <t xml:space="preserve">
Mudar apenas essas células.</t>
        </r>
      </text>
    </comment>
  </commentList>
</comments>
</file>

<file path=xl/comments1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Marisa Morita</author>
  </authors>
  <commentList>
    <comment ref="B3" authorId="0" shapeId="0" xr:uid="{5FAF0B04-C450-472A-99CD-0D3A062DC557}">
      <text>
        <r>
          <rPr>
            <b/>
            <sz val="9"/>
            <color indexed="81"/>
            <rFont val="Segoe UI"/>
            <family val="2"/>
          </rPr>
          <t>Marisa Morita:</t>
        </r>
        <r>
          <rPr>
            <sz val="9"/>
            <color indexed="81"/>
            <rFont val="Segoe UI"/>
            <family val="2"/>
          </rPr>
          <t xml:space="preserve">
Mudar apenas essas células</t>
        </r>
      </text>
    </comment>
    <comment ref="B4" authorId="0" shapeId="0" xr:uid="{C79FAEF2-65F2-409A-9E54-0DA875F8A0A1}">
      <text>
        <r>
          <rPr>
            <b/>
            <sz val="9"/>
            <color indexed="81"/>
            <rFont val="Segoe UI"/>
            <family val="2"/>
          </rPr>
          <t>Marisa Morita:</t>
        </r>
        <r>
          <rPr>
            <sz val="9"/>
            <color indexed="81"/>
            <rFont val="Segoe UI"/>
            <family val="2"/>
          </rPr>
          <t xml:space="preserve">
Mudar apenas essas células.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Alexandre Macedo</author>
  </authors>
  <commentList>
    <comment ref="E5" authorId="0" shapeId="0" xr:uid="{07FA2C43-6E0E-4ADB-B504-531E10C658F0}">
      <text>
        <r>
          <rPr>
            <b/>
            <sz val="9"/>
            <color indexed="81"/>
            <rFont val="Segoe UI"/>
            <family val="2"/>
          </rPr>
          <t>Alexandre Macedo:</t>
        </r>
        <r>
          <rPr>
            <sz val="9"/>
            <color indexed="81"/>
            <rFont val="Segoe UI"/>
            <family val="2"/>
          </rPr>
          <t xml:space="preserve">
K0 expressa o multiplicador de preço unitário para captação (inferior a 1,0 (um) e definido pelo Inea. 
Definido como 0,4 pela Lei Estadual 4247/2003. </t>
        </r>
      </text>
    </comment>
    <comment ref="F5" authorId="0" shapeId="0" xr:uid="{F385992F-081F-4C28-A855-BF974782C0D8}">
      <text>
        <r>
          <rPr>
            <b/>
            <sz val="9"/>
            <color indexed="81"/>
            <rFont val="Segoe UI"/>
            <family val="2"/>
          </rPr>
          <t>Alexandre Macedo:</t>
        </r>
        <r>
          <rPr>
            <sz val="9"/>
            <color indexed="81"/>
            <rFont val="Segoe UI"/>
            <family val="2"/>
          </rPr>
          <t xml:space="preserve">
</t>
        </r>
        <r>
          <rPr>
            <b/>
            <sz val="9"/>
            <color indexed="81"/>
            <rFont val="Segoe UI"/>
            <family val="2"/>
          </rPr>
          <t>K1:</t>
        </r>
        <r>
          <rPr>
            <sz val="9"/>
            <color indexed="81"/>
            <rFont val="Segoe UI"/>
            <family val="2"/>
          </rPr>
          <t xml:space="preserve"> expressa o coeficiente de consumo para a atividade do usuário em questão, ou seja, a relação entre o volume consumido e o volume captado pelo usuário ou o índice correspondente à parte do volume captado que não retorna ao manancial.
Definido como: (1 - coeficiente de retorno)</t>
        </r>
      </text>
    </comment>
    <comment ref="G5" authorId="0" shapeId="0" xr:uid="{277B25BF-69F5-41DF-B14F-9D69CC84B0C3}">
      <text>
        <r>
          <rPr>
            <b/>
            <sz val="9"/>
            <color indexed="81"/>
            <rFont val="Segoe UI"/>
            <family val="2"/>
          </rPr>
          <t>Alexandre Macedo:</t>
        </r>
        <r>
          <rPr>
            <sz val="9"/>
            <color indexed="81"/>
            <rFont val="Segoe UI"/>
            <family val="2"/>
          </rPr>
          <t xml:space="preserve">
</t>
        </r>
        <r>
          <rPr>
            <b/>
            <sz val="9"/>
            <color indexed="81"/>
            <rFont val="Segoe UI"/>
            <family val="2"/>
          </rPr>
          <t>K2:</t>
        </r>
        <r>
          <rPr>
            <sz val="9"/>
            <color indexed="81"/>
            <rFont val="Segoe UI"/>
            <family val="2"/>
          </rPr>
          <t xml:space="preserve"> expressa o percentual do volume de efluentes tratados em relação ao volume total de efluentes produzidos ou o índice de cobertura de tratamento de efluentes doméstico ou industrial, ou seja, a relação entre a vazão efluente tratada e a vazão efluente bruta.
Desconsiderado, uma vez que não é realizado lançamento.</t>
        </r>
      </text>
    </comment>
    <comment ref="H5" authorId="0" shapeId="0" xr:uid="{118DF1BD-089F-456E-92B9-6033DBD842BE}">
      <text>
        <r>
          <rPr>
            <b/>
            <sz val="9"/>
            <color indexed="81"/>
            <rFont val="Segoe UI"/>
            <family val="2"/>
          </rPr>
          <t>Alexandre Macedo:</t>
        </r>
        <r>
          <rPr>
            <sz val="9"/>
            <color indexed="81"/>
            <rFont val="Segoe UI"/>
            <family val="2"/>
          </rPr>
          <t xml:space="preserve">
</t>
        </r>
        <r>
          <rPr>
            <b/>
            <sz val="9"/>
            <color indexed="81"/>
            <rFont val="Segoe UI"/>
            <family val="2"/>
          </rPr>
          <t>K3:</t>
        </r>
        <r>
          <rPr>
            <sz val="9"/>
            <color indexed="81"/>
            <rFont val="Segoe UI"/>
            <family val="2"/>
          </rPr>
          <t xml:space="preserve"> expressa o nível de eficiência de redução de DBO (Demanda Bioquímica de Oxigênio) na Estação de Tratamento de Efluentes.
Desconsiderado, uma vez que não é realizado lançamento.</t>
        </r>
      </text>
    </comment>
    <comment ref="E15" authorId="0" shapeId="0" xr:uid="{5547F70D-A583-4575-8A00-6F808847C34B}">
      <text>
        <r>
          <rPr>
            <b/>
            <sz val="9"/>
            <color indexed="81"/>
            <rFont val="Segoe UI"/>
            <family val="2"/>
          </rPr>
          <t>Alexandre Macedo:</t>
        </r>
        <r>
          <rPr>
            <sz val="9"/>
            <color indexed="81"/>
            <rFont val="Segoe UI"/>
            <family val="2"/>
          </rPr>
          <t xml:space="preserve">
</t>
        </r>
        <r>
          <rPr>
            <b/>
            <sz val="9"/>
            <color indexed="81"/>
            <rFont val="Segoe UI"/>
            <family val="2"/>
          </rPr>
          <t>K0:</t>
        </r>
        <r>
          <rPr>
            <sz val="9"/>
            <color indexed="81"/>
            <rFont val="Segoe UI"/>
            <family val="2"/>
          </rPr>
          <t xml:space="preserve"> expressa o multiplicador de preço unitário para captação (inferior a 1,0 (um) e definido pelo Inea. 
Definido como 0,4 pela Lei Estadual 4247/2003. 
</t>
        </r>
      </text>
    </comment>
    <comment ref="F15" authorId="0" shapeId="0" xr:uid="{A2DD270F-6EF8-4953-BD74-7E317BF1258A}">
      <text>
        <r>
          <rPr>
            <b/>
            <sz val="9"/>
            <color indexed="81"/>
            <rFont val="Segoe UI"/>
            <family val="2"/>
          </rPr>
          <t>Alexandre Macedo:</t>
        </r>
        <r>
          <rPr>
            <sz val="9"/>
            <color indexed="81"/>
            <rFont val="Segoe UI"/>
            <family val="2"/>
          </rPr>
          <t xml:space="preserve">
</t>
        </r>
        <r>
          <rPr>
            <b/>
            <sz val="9"/>
            <color indexed="81"/>
            <rFont val="Segoe UI"/>
            <family val="2"/>
          </rPr>
          <t xml:space="preserve">K1: </t>
        </r>
        <r>
          <rPr>
            <sz val="9"/>
            <color indexed="81"/>
            <rFont val="Segoe UI"/>
            <family val="2"/>
          </rPr>
          <t>expressa o coeficiente de consumo para a atividade do usuário em questão, ou seja, a relação entre o volume consumido e o volume captado pelo usuário ou o índice correspondente à parte do volume captado que não retorna ao manancial.
Definido como zero (0) pela Lei Estadual 4247/2003.</t>
        </r>
      </text>
    </comment>
    <comment ref="G15" authorId="0" shapeId="0" xr:uid="{06312621-4C87-453F-AD21-5B3E9D572E76}">
      <text>
        <r>
          <rPr>
            <b/>
            <sz val="9"/>
            <color indexed="81"/>
            <rFont val="Segoe UI"/>
            <family val="2"/>
          </rPr>
          <t>Alexandre Macedo:</t>
        </r>
        <r>
          <rPr>
            <sz val="9"/>
            <color indexed="81"/>
            <rFont val="Segoe UI"/>
            <family val="2"/>
          </rPr>
          <t xml:space="preserve">
</t>
        </r>
        <r>
          <rPr>
            <b/>
            <sz val="9"/>
            <color indexed="81"/>
            <rFont val="Segoe UI"/>
            <family val="2"/>
          </rPr>
          <t>K2:</t>
        </r>
        <r>
          <rPr>
            <sz val="9"/>
            <color indexed="81"/>
            <rFont val="Segoe UI"/>
            <family val="2"/>
          </rPr>
          <t xml:space="preserve"> expressa o percentual do volume de efluentes tratados em relação ao volume total de efluentes produzidos ou o índice de cobertura de tratamento de efluentes doméstico ou industrial, ou seja, a relação entre a vazão efluente tratada e a vazão efluente bruta.
Definido como zero (0) pela Lei Estadual 4247/2003.</t>
        </r>
      </text>
    </comment>
    <comment ref="H15" authorId="0" shapeId="0" xr:uid="{031993D3-505B-483E-B01A-4112734CF988}">
      <text>
        <r>
          <rPr>
            <b/>
            <sz val="9"/>
            <color indexed="81"/>
            <rFont val="Segoe UI"/>
            <family val="2"/>
          </rPr>
          <t>Alexandre Macedo:</t>
        </r>
        <r>
          <rPr>
            <sz val="9"/>
            <color indexed="81"/>
            <rFont val="Segoe UI"/>
            <family val="2"/>
          </rPr>
          <t xml:space="preserve">
</t>
        </r>
        <r>
          <rPr>
            <b/>
            <sz val="9"/>
            <color indexed="81"/>
            <rFont val="Segoe UI"/>
            <family val="2"/>
          </rPr>
          <t>K3</t>
        </r>
        <r>
          <rPr>
            <sz val="9"/>
            <color indexed="81"/>
            <rFont val="Segoe UI"/>
            <family val="2"/>
          </rPr>
          <t>: expressa o nível de eficiência de redução de DBO (Demanda Bioquímica de Oxigênio) na Estação de Tratamento de Efluentes.
Definido como zero (0) pela Lei Estadual 4247/2003.</t>
        </r>
      </text>
    </comment>
    <comment ref="E27" authorId="0" shapeId="0" xr:uid="{8B169FA9-1E20-4A19-BA24-52B154E6AE79}">
      <text>
        <r>
          <rPr>
            <b/>
            <sz val="9"/>
            <color indexed="81"/>
            <rFont val="Segoe UI"/>
            <family val="2"/>
          </rPr>
          <t>Alexandre Macedo:</t>
        </r>
        <r>
          <rPr>
            <sz val="9"/>
            <color indexed="81"/>
            <rFont val="Segoe UI"/>
            <family val="2"/>
          </rPr>
          <t xml:space="preserve">
</t>
        </r>
        <r>
          <rPr>
            <b/>
            <sz val="9"/>
            <color indexed="81"/>
            <rFont val="Segoe UI"/>
            <family val="2"/>
          </rPr>
          <t>K0:</t>
        </r>
        <r>
          <rPr>
            <sz val="9"/>
            <color indexed="81"/>
            <rFont val="Segoe UI"/>
            <family val="2"/>
          </rPr>
          <t xml:space="preserve"> expressa o multiplicador de preço unitário para captação (inferior a 1,0 (um) e definido pelo Inea. 
Definido como 0,4 pela Lei Estadual 4247/2003. 
</t>
        </r>
      </text>
    </comment>
    <comment ref="F27" authorId="0" shapeId="0" xr:uid="{F7337357-951D-4C50-AD03-EEA27D477DE1}">
      <text>
        <r>
          <rPr>
            <b/>
            <sz val="9"/>
            <color indexed="81"/>
            <rFont val="Segoe UI"/>
            <family val="2"/>
          </rPr>
          <t>Alexandre Macedo:</t>
        </r>
        <r>
          <rPr>
            <sz val="9"/>
            <color indexed="81"/>
            <rFont val="Segoe UI"/>
            <family val="2"/>
          </rPr>
          <t xml:space="preserve">
</t>
        </r>
        <r>
          <rPr>
            <b/>
            <sz val="9"/>
            <color indexed="81"/>
            <rFont val="Segoe UI"/>
            <family val="2"/>
          </rPr>
          <t xml:space="preserve">K1: </t>
        </r>
        <r>
          <rPr>
            <sz val="9"/>
            <color indexed="81"/>
            <rFont val="Segoe UI"/>
            <family val="2"/>
          </rPr>
          <t>expressa o coeficiente de consumo para a atividade do usuário em questão, ou seja, a relação entre o volume consumido e o volume captado pelo usuário ou o índice correspondente à parte do volume captado que não retorna ao manancial.
Definido como zero (0) pela Lei Estadual 4247/2003.</t>
        </r>
      </text>
    </comment>
    <comment ref="G27" authorId="0" shapeId="0" xr:uid="{15842D04-347D-41C3-8061-432723092EC6}">
      <text>
        <r>
          <rPr>
            <b/>
            <sz val="9"/>
            <color indexed="81"/>
            <rFont val="Segoe UI"/>
            <family val="2"/>
          </rPr>
          <t>Alexandre Macedo:</t>
        </r>
        <r>
          <rPr>
            <sz val="9"/>
            <color indexed="81"/>
            <rFont val="Segoe UI"/>
            <family val="2"/>
          </rPr>
          <t xml:space="preserve">
</t>
        </r>
        <r>
          <rPr>
            <b/>
            <sz val="9"/>
            <color indexed="81"/>
            <rFont val="Segoe UI"/>
            <family val="2"/>
          </rPr>
          <t>K2:</t>
        </r>
        <r>
          <rPr>
            <sz val="9"/>
            <color indexed="81"/>
            <rFont val="Segoe UI"/>
            <family val="2"/>
          </rPr>
          <t xml:space="preserve"> expressa o percentual do volume de efluentes tratados em relação ao volume total de efluentes produzidos ou o índice de cobertura de tratamento de efluentes doméstico ou industrial, ou seja, a relação entre a vazão efluente tratada e a vazão efluente bruta.
Definido como zero (0) pela Lei Estadual 4247/2003.</t>
        </r>
      </text>
    </comment>
    <comment ref="H27" authorId="0" shapeId="0" xr:uid="{91A1C20A-56A1-49E7-9BFE-F46BEACAE678}">
      <text>
        <r>
          <rPr>
            <b/>
            <sz val="9"/>
            <color indexed="81"/>
            <rFont val="Segoe UI"/>
            <family val="2"/>
          </rPr>
          <t>Alexandre Macedo:</t>
        </r>
        <r>
          <rPr>
            <sz val="9"/>
            <color indexed="81"/>
            <rFont val="Segoe UI"/>
            <family val="2"/>
          </rPr>
          <t xml:space="preserve">
</t>
        </r>
        <r>
          <rPr>
            <b/>
            <sz val="9"/>
            <color indexed="81"/>
            <rFont val="Segoe UI"/>
            <family val="2"/>
          </rPr>
          <t>K3</t>
        </r>
        <r>
          <rPr>
            <sz val="9"/>
            <color indexed="81"/>
            <rFont val="Segoe UI"/>
            <family val="2"/>
          </rPr>
          <t>: expressa o nível de eficiência de redução de DBO (Demanda Bioquímica de Oxigênio) na Estação de Tratamento de Efluentes.
Definido como zero (0) pela Lei Estadual 4247/2003.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Alexandre Macedo</author>
    <author>Marisa Morita dos Santos</author>
  </authors>
  <commentList>
    <comment ref="E5" authorId="0" shapeId="0" xr:uid="{CE415913-2F98-4525-88CC-FBC917DF75C7}">
      <text>
        <r>
          <rPr>
            <b/>
            <sz val="9"/>
            <color indexed="81"/>
            <rFont val="Segoe UI"/>
            <family val="2"/>
          </rPr>
          <t>Alexandre Macedo:</t>
        </r>
        <r>
          <rPr>
            <sz val="9"/>
            <color indexed="81"/>
            <rFont val="Segoe UI"/>
            <family val="2"/>
          </rPr>
          <t xml:space="preserve">
K0 expressa o multiplicador de preço unitário para captação (inferior a 1,0 (um) e definido pelo Inea. 
Definido como 0,4 pela Lei Estadual 4247/2003. </t>
        </r>
      </text>
    </comment>
    <comment ref="F5" authorId="0" shapeId="0" xr:uid="{633AB576-BAFA-43EA-85FF-0560F9300AAC}">
      <text>
        <r>
          <rPr>
            <b/>
            <sz val="9"/>
            <color indexed="81"/>
            <rFont val="Segoe UI"/>
            <family val="2"/>
          </rPr>
          <t>Alexandre Macedo:</t>
        </r>
        <r>
          <rPr>
            <sz val="9"/>
            <color indexed="81"/>
            <rFont val="Segoe UI"/>
            <family val="2"/>
          </rPr>
          <t xml:space="preserve">
</t>
        </r>
        <r>
          <rPr>
            <b/>
            <sz val="9"/>
            <color indexed="81"/>
            <rFont val="Segoe UI"/>
            <family val="2"/>
          </rPr>
          <t>K1:</t>
        </r>
        <r>
          <rPr>
            <sz val="9"/>
            <color indexed="81"/>
            <rFont val="Segoe UI"/>
            <family val="2"/>
          </rPr>
          <t xml:space="preserve"> expressa o coeficiente de consumo para a atividade do usuário em questão, ou seja, a relação entre o volume consumido e o volume captado pelo usuário ou o índice correspondente à parte do volume captado que não retorna ao manancial.
Definido como: (1 - coeficiente de retorno)</t>
        </r>
      </text>
    </comment>
    <comment ref="G5" authorId="0" shapeId="0" xr:uid="{8288747C-4282-425D-8492-C32C194BDD5F}">
      <text>
        <r>
          <rPr>
            <b/>
            <sz val="9"/>
            <color indexed="81"/>
            <rFont val="Segoe UI"/>
            <family val="2"/>
          </rPr>
          <t>Alexandre Macedo:</t>
        </r>
        <r>
          <rPr>
            <sz val="9"/>
            <color indexed="81"/>
            <rFont val="Segoe UI"/>
            <family val="2"/>
          </rPr>
          <t xml:space="preserve">
</t>
        </r>
        <r>
          <rPr>
            <b/>
            <sz val="9"/>
            <color indexed="81"/>
            <rFont val="Segoe UI"/>
            <family val="2"/>
          </rPr>
          <t>K2:</t>
        </r>
        <r>
          <rPr>
            <sz val="9"/>
            <color indexed="81"/>
            <rFont val="Segoe UI"/>
            <family val="2"/>
          </rPr>
          <t xml:space="preserve"> expressa o percentual do volume de efluentes tratados em relação ao volume total de efluentes produzidos ou o índice de cobertura de tratamento de efluentes doméstico ou industrial, ou seja, a relação entre a vazão efluente tratada e a vazão efluente bruta.
Nas outorgas de captação: desconsiderado, uma vez que não é realizado lançamento.
Nas outorgas de lançamento: adotado valor de 1, considerando que toda a vazão da ETE é tratada.</t>
        </r>
      </text>
    </comment>
    <comment ref="H5" authorId="0" shapeId="0" xr:uid="{D1A58FB4-1C8A-431E-BFD6-6525345CE900}">
      <text>
        <r>
          <rPr>
            <b/>
            <sz val="9"/>
            <color indexed="81"/>
            <rFont val="Segoe UI"/>
            <family val="2"/>
          </rPr>
          <t>Alexandre Macedo:</t>
        </r>
        <r>
          <rPr>
            <sz val="9"/>
            <color indexed="81"/>
            <rFont val="Segoe UI"/>
            <family val="2"/>
          </rPr>
          <t xml:space="preserve">
</t>
        </r>
        <r>
          <rPr>
            <b/>
            <sz val="9"/>
            <color indexed="81"/>
            <rFont val="Segoe UI"/>
            <family val="2"/>
          </rPr>
          <t>K3:</t>
        </r>
        <r>
          <rPr>
            <sz val="9"/>
            <color indexed="81"/>
            <rFont val="Segoe UI"/>
            <family val="2"/>
          </rPr>
          <t xml:space="preserve"> expressa o nível de eficiência de redução de DBO (Demanda Bioquímica de Oxigênio) na Estação de Tratamento de Efluentes.
</t>
        </r>
        <r>
          <rPr>
            <b/>
            <sz val="9"/>
            <color indexed="81"/>
            <rFont val="Segoe UI"/>
            <family val="2"/>
          </rPr>
          <t>Nas outorgas de captação:</t>
        </r>
        <r>
          <rPr>
            <sz val="9"/>
            <color indexed="81"/>
            <rFont val="Segoe UI"/>
            <family val="2"/>
          </rPr>
          <t xml:space="preserve"> desconsiderado, uma vez que não é realizado lançamento.
</t>
        </r>
        <r>
          <rPr>
            <b/>
            <sz val="9"/>
            <color indexed="81"/>
            <rFont val="Segoe UI"/>
            <family val="2"/>
          </rPr>
          <t xml:space="preserve">Nas outorgas de lançamento: </t>
        </r>
        <r>
          <rPr>
            <sz val="9"/>
            <color indexed="81"/>
            <rFont val="Segoe UI"/>
            <family val="2"/>
          </rPr>
          <t>Varia de acordo com a relação DBO Efluente Bruto e DBO Efluente Tratado do CNARH.</t>
        </r>
      </text>
    </comment>
    <comment ref="E23" authorId="0" shapeId="0" xr:uid="{3D9EEA86-A3D7-4A6B-9034-BF2FF2AC9467}">
      <text>
        <r>
          <rPr>
            <b/>
            <sz val="9"/>
            <color indexed="81"/>
            <rFont val="Segoe UI"/>
            <family val="2"/>
          </rPr>
          <t>Alexandre Macedo:</t>
        </r>
        <r>
          <rPr>
            <sz val="9"/>
            <color indexed="81"/>
            <rFont val="Segoe UI"/>
            <family val="2"/>
          </rPr>
          <t xml:space="preserve">
K0 expressa o multiplicador de preço unitário para captação (inferior a 1,0 (um) e definido pelo Inea. 
Definido como 0,4 pela Lei Estadual 4247/2003. </t>
        </r>
      </text>
    </comment>
    <comment ref="F23" authorId="0" shapeId="0" xr:uid="{16369F9F-01EB-48A5-8F3B-1364D117748D}">
      <text>
        <r>
          <rPr>
            <b/>
            <sz val="9"/>
            <color indexed="81"/>
            <rFont val="Segoe UI"/>
            <family val="2"/>
          </rPr>
          <t>Alexandre Macedo:</t>
        </r>
        <r>
          <rPr>
            <sz val="9"/>
            <color indexed="81"/>
            <rFont val="Segoe UI"/>
            <family val="2"/>
          </rPr>
          <t xml:space="preserve">
</t>
        </r>
        <r>
          <rPr>
            <b/>
            <sz val="9"/>
            <color indexed="81"/>
            <rFont val="Segoe UI"/>
            <family val="2"/>
          </rPr>
          <t>K1:</t>
        </r>
        <r>
          <rPr>
            <sz val="9"/>
            <color indexed="81"/>
            <rFont val="Segoe UI"/>
            <family val="2"/>
          </rPr>
          <t xml:space="preserve"> expressa o coeficiente de consumo para a atividade do usuário em questão, ou seja, a relação entre o volume consumido e o volume captado pelo usuário ou o índice correspondente à parte do volume captado que não retorna ao manancial.
Definido como: (1 - coeficiente de retorno)</t>
        </r>
      </text>
    </comment>
    <comment ref="G23" authorId="0" shapeId="0" xr:uid="{E58DFD15-DD79-40A5-AEFD-9624B990F7A2}">
      <text>
        <r>
          <rPr>
            <b/>
            <sz val="9"/>
            <color indexed="81"/>
            <rFont val="Segoe UI"/>
            <family val="2"/>
          </rPr>
          <t>Alexandre Macedo:</t>
        </r>
        <r>
          <rPr>
            <sz val="9"/>
            <color indexed="81"/>
            <rFont val="Segoe UI"/>
            <family val="2"/>
          </rPr>
          <t xml:space="preserve">
</t>
        </r>
        <r>
          <rPr>
            <b/>
            <sz val="9"/>
            <color indexed="81"/>
            <rFont val="Segoe UI"/>
            <family val="2"/>
          </rPr>
          <t>K2:</t>
        </r>
        <r>
          <rPr>
            <sz val="9"/>
            <color indexed="81"/>
            <rFont val="Segoe UI"/>
            <family val="2"/>
          </rPr>
          <t xml:space="preserve"> expressa o percentual do volume de efluentes tratados em relação ao volume total de efluentes produzidos ou o índice de cobertura de tratamento de efluentes doméstico ou industrial, ou seja, a relação entre a vazão efluente tratada e a vazão efluente bruta.
Nas outorgas de captação: desconsiderado, uma vez que não é realizado lançamento.
Nas outorgas de lançamento: adotado valor de 1, considerando que toda a vazão da ETE é tratada.</t>
        </r>
      </text>
    </comment>
    <comment ref="H23" authorId="0" shapeId="0" xr:uid="{FC36784B-EAC0-423C-9022-D73D9CD02762}">
      <text>
        <r>
          <rPr>
            <b/>
            <sz val="9"/>
            <color indexed="81"/>
            <rFont val="Segoe UI"/>
            <family val="2"/>
          </rPr>
          <t>Alexandre Macedo:</t>
        </r>
        <r>
          <rPr>
            <sz val="9"/>
            <color indexed="81"/>
            <rFont val="Segoe UI"/>
            <family val="2"/>
          </rPr>
          <t xml:space="preserve">
</t>
        </r>
        <r>
          <rPr>
            <b/>
            <sz val="9"/>
            <color indexed="81"/>
            <rFont val="Segoe UI"/>
            <family val="2"/>
          </rPr>
          <t>K3:</t>
        </r>
        <r>
          <rPr>
            <sz val="9"/>
            <color indexed="81"/>
            <rFont val="Segoe UI"/>
            <family val="2"/>
          </rPr>
          <t xml:space="preserve"> expressa o nível de eficiência de redução de DBO (Demanda Bioquímica de Oxigênio) na Estação de Tratamento de Efluentes.
</t>
        </r>
        <r>
          <rPr>
            <b/>
            <sz val="9"/>
            <color indexed="81"/>
            <rFont val="Segoe UI"/>
            <family val="2"/>
          </rPr>
          <t>Nas outorgas de captação:</t>
        </r>
        <r>
          <rPr>
            <sz val="9"/>
            <color indexed="81"/>
            <rFont val="Segoe UI"/>
            <family val="2"/>
          </rPr>
          <t xml:space="preserve"> desconsiderado, uma vez que não é realizado lançamento.
</t>
        </r>
        <r>
          <rPr>
            <b/>
            <sz val="9"/>
            <color indexed="81"/>
            <rFont val="Segoe UI"/>
            <family val="2"/>
          </rPr>
          <t xml:space="preserve">Nas outorgas de lançamento: </t>
        </r>
        <r>
          <rPr>
            <sz val="9"/>
            <color indexed="81"/>
            <rFont val="Segoe UI"/>
            <family val="2"/>
          </rPr>
          <t>Varia de acordo com a relação DBO Efluente Bruto e DBO Efluente Tratado do CNARH.</t>
        </r>
      </text>
    </comment>
    <comment ref="F37" authorId="1" shapeId="0" xr:uid="{D781420D-60D8-4A77-8101-269E8C9DE364}">
      <text>
        <r>
          <rPr>
            <b/>
            <sz val="9"/>
            <color indexed="81"/>
            <rFont val="Segoe UI"/>
            <family val="2"/>
          </rPr>
          <t>Marisa Morita dos Santos:</t>
        </r>
        <r>
          <rPr>
            <sz val="9"/>
            <color indexed="81"/>
            <rFont val="Segoe UI"/>
            <family val="2"/>
          </rPr>
          <t xml:space="preserve">
Manual de Usos Consuntivos</t>
        </r>
      </text>
    </comment>
    <comment ref="F38" authorId="1" shapeId="0" xr:uid="{EB898D41-79EF-4998-A371-08C509486779}">
      <text>
        <r>
          <rPr>
            <b/>
            <sz val="9"/>
            <color indexed="81"/>
            <rFont val="Segoe UI"/>
            <family val="2"/>
          </rPr>
          <t>Marisa Morita dos Santos:</t>
        </r>
        <r>
          <rPr>
            <sz val="9"/>
            <color indexed="81"/>
            <rFont val="Segoe UI"/>
            <family val="2"/>
          </rPr>
          <t xml:space="preserve">
Manual de Usos Consuntivos</t>
        </r>
      </text>
    </comment>
    <comment ref="E48" authorId="0" shapeId="0" xr:uid="{77DA5454-C3CA-4466-9DBC-986D279291DD}">
      <text>
        <r>
          <rPr>
            <b/>
            <sz val="9"/>
            <color indexed="81"/>
            <rFont val="Segoe UI"/>
            <family val="2"/>
          </rPr>
          <t>Alexandre Macedo:</t>
        </r>
        <r>
          <rPr>
            <sz val="9"/>
            <color indexed="81"/>
            <rFont val="Segoe UI"/>
            <family val="2"/>
          </rPr>
          <t xml:space="preserve">
</t>
        </r>
        <r>
          <rPr>
            <b/>
            <sz val="9"/>
            <color indexed="81"/>
            <rFont val="Segoe UI"/>
            <family val="2"/>
          </rPr>
          <t xml:space="preserve">K0: </t>
        </r>
        <r>
          <rPr>
            <sz val="9"/>
            <color indexed="81"/>
            <rFont val="Segoe UI"/>
            <family val="2"/>
          </rPr>
          <t xml:space="preserve">expressa o multiplicador de preço unitário para captação (inferior a 1,0 (um) e definido pelo Inea. 
Definido como 0,4 pela Lei Estadual 4247/2003. </t>
        </r>
      </text>
    </comment>
    <comment ref="F48" authorId="0" shapeId="0" xr:uid="{7284C7B6-19E0-40E5-87BA-65E376A7F89E}">
      <text>
        <r>
          <rPr>
            <b/>
            <sz val="9"/>
            <color indexed="81"/>
            <rFont val="Segoe UI"/>
            <family val="2"/>
          </rPr>
          <t>Alexandre Macedo:</t>
        </r>
        <r>
          <rPr>
            <sz val="9"/>
            <color indexed="81"/>
            <rFont val="Segoe UI"/>
            <family val="2"/>
          </rPr>
          <t xml:space="preserve">
</t>
        </r>
        <r>
          <rPr>
            <b/>
            <sz val="9"/>
            <color indexed="81"/>
            <rFont val="Segoe UI"/>
            <family val="2"/>
          </rPr>
          <t xml:space="preserve">K1: </t>
        </r>
        <r>
          <rPr>
            <sz val="9"/>
            <color indexed="81"/>
            <rFont val="Segoe UI"/>
            <family val="2"/>
          </rPr>
          <t>expressa o coeficiente de consumo para a atividade do usuário em questão, ou seja, a relação entre o volume consumido e o volume captado pelo usuário ou o índice correspondente à parte do volume captado que não retorna ao manancial.
Definido como: (1 - coeficiente de retorno)</t>
        </r>
      </text>
    </comment>
    <comment ref="G48" authorId="0" shapeId="0" xr:uid="{1EBB1557-1CF6-4AE2-A4DC-9143EB030B68}">
      <text>
        <r>
          <rPr>
            <b/>
            <sz val="9"/>
            <color indexed="81"/>
            <rFont val="Segoe UI"/>
            <family val="2"/>
          </rPr>
          <t>Alexandre Macedo:</t>
        </r>
        <r>
          <rPr>
            <sz val="9"/>
            <color indexed="81"/>
            <rFont val="Segoe UI"/>
            <family val="2"/>
          </rPr>
          <t xml:space="preserve">
</t>
        </r>
        <r>
          <rPr>
            <b/>
            <sz val="9"/>
            <color indexed="81"/>
            <rFont val="Segoe UI"/>
            <family val="2"/>
          </rPr>
          <t>K2:</t>
        </r>
        <r>
          <rPr>
            <sz val="9"/>
            <color indexed="81"/>
            <rFont val="Segoe UI"/>
            <family val="2"/>
          </rPr>
          <t xml:space="preserve"> expressa o percentual do volume de efluentes tratados em relação ao volume total de efluentes produzidos ou o índice de cobertura de tratamento de efluentes doméstico ou industrial, ou seja, a relação entre a vazão efluente tratada e a vazão efluente bruta.
Adotado como 1, considerando que toda a vazão que entra na ETE sai</t>
        </r>
      </text>
    </comment>
    <comment ref="H48" authorId="0" shapeId="0" xr:uid="{500E9626-F000-4D8A-9F9B-1C6EF9192425}">
      <text>
        <r>
          <rPr>
            <b/>
            <sz val="9"/>
            <color indexed="81"/>
            <rFont val="Segoe UI"/>
            <family val="2"/>
          </rPr>
          <t>Alexandre Macedo:</t>
        </r>
        <r>
          <rPr>
            <sz val="9"/>
            <color indexed="81"/>
            <rFont val="Segoe UI"/>
            <family val="2"/>
          </rPr>
          <t xml:space="preserve">
</t>
        </r>
        <r>
          <rPr>
            <b/>
            <sz val="9"/>
            <color indexed="81"/>
            <rFont val="Segoe UI"/>
            <family val="2"/>
          </rPr>
          <t xml:space="preserve">K3: </t>
        </r>
        <r>
          <rPr>
            <sz val="9"/>
            <color indexed="81"/>
            <rFont val="Segoe UI"/>
            <family val="2"/>
          </rPr>
          <t>expressa o nível de eficiência de redução de DBO (Demanda Bioquímica de Oxigênio) na Estação de Tratamento de Efluentes.
Considerada a eficiência mínima apontada no Art. 21 da Conama nº 430/2011.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Alexandre Macedo</author>
  </authors>
  <commentList>
    <comment ref="E5" authorId="0" shapeId="0" xr:uid="{6AC53028-EFFC-4710-B9E3-43ABF2CAFD41}">
      <text>
        <r>
          <rPr>
            <b/>
            <sz val="9"/>
            <color indexed="81"/>
            <rFont val="Segoe UI"/>
            <family val="2"/>
          </rPr>
          <t>Alexandre Macedo:</t>
        </r>
        <r>
          <rPr>
            <sz val="9"/>
            <color indexed="81"/>
            <rFont val="Segoe UI"/>
            <family val="2"/>
          </rPr>
          <t xml:space="preserve">
K0 expressa o multiplicador de preço unitário para captação (inferior a 1,0 (um) e definido pelo Inea. 
Definido como 0,4 pela Lei Estadual 4247/2003. </t>
        </r>
      </text>
    </comment>
    <comment ref="F5" authorId="0" shapeId="0" xr:uid="{CDE22D0F-7903-449F-BA12-A60411DD9194}">
      <text>
        <r>
          <rPr>
            <b/>
            <sz val="9"/>
            <color indexed="81"/>
            <rFont val="Segoe UI"/>
            <family val="2"/>
          </rPr>
          <t>Alexandre Macedo:</t>
        </r>
        <r>
          <rPr>
            <sz val="9"/>
            <color indexed="81"/>
            <rFont val="Segoe UI"/>
            <family val="2"/>
          </rPr>
          <t xml:space="preserve">
</t>
        </r>
        <r>
          <rPr>
            <b/>
            <sz val="9"/>
            <color indexed="81"/>
            <rFont val="Segoe UI"/>
            <family val="2"/>
          </rPr>
          <t>K1:</t>
        </r>
        <r>
          <rPr>
            <sz val="9"/>
            <color indexed="81"/>
            <rFont val="Segoe UI"/>
            <family val="2"/>
          </rPr>
          <t xml:space="preserve"> expressa o coeficiente de consumo para a atividade do usuário em questão, ou seja, a relação entre o volume consumido e o volume captado pelo usuário ou o índice correspondente à parte do volume captado que não retorna ao manancial.
Definido como: (1 - coeficiente de retorno)</t>
        </r>
      </text>
    </comment>
    <comment ref="G5" authorId="0" shapeId="0" xr:uid="{40F2511F-BFA8-4055-87EE-10179176FFDA}">
      <text>
        <r>
          <rPr>
            <b/>
            <sz val="9"/>
            <color indexed="81"/>
            <rFont val="Segoe UI"/>
            <family val="2"/>
          </rPr>
          <t>Alexandre Macedo:</t>
        </r>
        <r>
          <rPr>
            <sz val="9"/>
            <color indexed="81"/>
            <rFont val="Segoe UI"/>
            <family val="2"/>
          </rPr>
          <t xml:space="preserve">
</t>
        </r>
        <r>
          <rPr>
            <b/>
            <sz val="9"/>
            <color indexed="81"/>
            <rFont val="Segoe UI"/>
            <family val="2"/>
          </rPr>
          <t>K2:</t>
        </r>
        <r>
          <rPr>
            <sz val="9"/>
            <color indexed="81"/>
            <rFont val="Segoe UI"/>
            <family val="2"/>
          </rPr>
          <t xml:space="preserve"> expressa o percentual do volume de efluentes tratados em relação ao volume total de efluentes produzidos ou o índice de cobertura de tratamento de efluentes doméstico ou industrial, ou seja, a relação entre a vazão efluente tratada e a vazão efluente bruta.
Desconsiderado, uma vez que não é realizado lançamento.</t>
        </r>
      </text>
    </comment>
    <comment ref="H5" authorId="0" shapeId="0" xr:uid="{68F86CC4-30AF-442F-887F-461FD79128E4}">
      <text>
        <r>
          <rPr>
            <b/>
            <sz val="9"/>
            <color indexed="81"/>
            <rFont val="Segoe UI"/>
            <family val="2"/>
          </rPr>
          <t>Alexandre Macedo:</t>
        </r>
        <r>
          <rPr>
            <sz val="9"/>
            <color indexed="81"/>
            <rFont val="Segoe UI"/>
            <family val="2"/>
          </rPr>
          <t xml:space="preserve">
</t>
        </r>
        <r>
          <rPr>
            <b/>
            <sz val="9"/>
            <color indexed="81"/>
            <rFont val="Segoe UI"/>
            <family val="2"/>
          </rPr>
          <t>K3:</t>
        </r>
        <r>
          <rPr>
            <sz val="9"/>
            <color indexed="81"/>
            <rFont val="Segoe UI"/>
            <family val="2"/>
          </rPr>
          <t xml:space="preserve"> expressa o nível de eficiência de redução de DBO (Demanda Bioquímica de Oxigênio) na Estação de Tratamento de Efluentes.
Desconsiderado, uma vez que não é realizado lançamento.</t>
        </r>
      </text>
    </comment>
    <comment ref="E15" authorId="0" shapeId="0" xr:uid="{32F5462A-0C06-4482-B13F-CC45B865BC54}">
      <text>
        <r>
          <rPr>
            <b/>
            <sz val="9"/>
            <color indexed="81"/>
            <rFont val="Segoe UI"/>
            <family val="2"/>
          </rPr>
          <t>Alexandre Macedo:</t>
        </r>
        <r>
          <rPr>
            <sz val="9"/>
            <color indexed="81"/>
            <rFont val="Segoe UI"/>
            <family val="2"/>
          </rPr>
          <t xml:space="preserve">
K0 expressa o multiplicador de preço unitário para captação (inferior a 1,0 (um) e definido pelo Inea. 
Definido como 0,4 pela Lei Estadual 4247/2003. </t>
        </r>
      </text>
    </comment>
    <comment ref="F15" authorId="0" shapeId="0" xr:uid="{9417FBAB-5FE1-42CD-988F-11BCF8CF973A}">
      <text>
        <r>
          <rPr>
            <b/>
            <sz val="9"/>
            <color indexed="81"/>
            <rFont val="Segoe UI"/>
            <family val="2"/>
          </rPr>
          <t>Alexandre Macedo:</t>
        </r>
        <r>
          <rPr>
            <sz val="9"/>
            <color indexed="81"/>
            <rFont val="Segoe UI"/>
            <family val="2"/>
          </rPr>
          <t xml:space="preserve">
</t>
        </r>
        <r>
          <rPr>
            <b/>
            <sz val="9"/>
            <color indexed="81"/>
            <rFont val="Segoe UI"/>
            <family val="2"/>
          </rPr>
          <t>K1:</t>
        </r>
        <r>
          <rPr>
            <sz val="9"/>
            <color indexed="81"/>
            <rFont val="Segoe UI"/>
            <family val="2"/>
          </rPr>
          <t xml:space="preserve"> expressa o coeficiente de consumo para a atividade do usuário em questão, ou seja, a relação entre o volume consumido e o volume captado pelo usuário ou o índice correspondente à parte do volume captado que não retorna ao manancial.
Definido como: (1 - coeficiente de retorno)</t>
        </r>
      </text>
    </comment>
    <comment ref="G15" authorId="0" shapeId="0" xr:uid="{AB18B03E-BA4A-4596-91CE-8AA3C041F1EC}">
      <text>
        <r>
          <rPr>
            <b/>
            <sz val="9"/>
            <color indexed="81"/>
            <rFont val="Segoe UI"/>
            <family val="2"/>
          </rPr>
          <t>Alexandre Macedo:</t>
        </r>
        <r>
          <rPr>
            <sz val="9"/>
            <color indexed="81"/>
            <rFont val="Segoe UI"/>
            <family val="2"/>
          </rPr>
          <t xml:space="preserve">
</t>
        </r>
        <r>
          <rPr>
            <b/>
            <sz val="9"/>
            <color indexed="81"/>
            <rFont val="Segoe UI"/>
            <family val="2"/>
          </rPr>
          <t>K2:</t>
        </r>
        <r>
          <rPr>
            <sz val="9"/>
            <color indexed="81"/>
            <rFont val="Segoe UI"/>
            <family val="2"/>
          </rPr>
          <t xml:space="preserve"> expressa o percentual do volume de efluentes tratados em relação ao volume total de efluentes produzidos ou o índice de cobertura de tratamento de efluentes doméstico ou industrial, ou seja, a relação entre a vazão efluente tratada e a vazão efluente bruta.
Desconsiderado, uma vez que não é realizado lançamento.</t>
        </r>
      </text>
    </comment>
    <comment ref="H15" authorId="0" shapeId="0" xr:uid="{9DBC19EB-98A0-4E07-936F-0F04803BFA77}">
      <text>
        <r>
          <rPr>
            <b/>
            <sz val="9"/>
            <color indexed="81"/>
            <rFont val="Segoe UI"/>
            <family val="2"/>
          </rPr>
          <t>Alexandre Macedo:</t>
        </r>
        <r>
          <rPr>
            <sz val="9"/>
            <color indexed="81"/>
            <rFont val="Segoe UI"/>
            <family val="2"/>
          </rPr>
          <t xml:space="preserve">
</t>
        </r>
        <r>
          <rPr>
            <b/>
            <sz val="9"/>
            <color indexed="81"/>
            <rFont val="Segoe UI"/>
            <family val="2"/>
          </rPr>
          <t>K3:</t>
        </r>
        <r>
          <rPr>
            <sz val="9"/>
            <color indexed="81"/>
            <rFont val="Segoe UI"/>
            <family val="2"/>
          </rPr>
          <t xml:space="preserve"> expressa o nível de eficiência de redução de DBO (Demanda Bioquímica de Oxigênio) na Estação de Tratamento de Efluentes.
Desconsiderado, uma vez que não é realizado lançamento.</t>
        </r>
      </text>
    </comment>
    <comment ref="E30" authorId="0" shapeId="0" xr:uid="{F403CED0-0957-45A3-AD42-82ADC808011D}">
      <text>
        <r>
          <rPr>
            <b/>
            <sz val="9"/>
            <color indexed="81"/>
            <rFont val="Segoe UI"/>
            <family val="2"/>
          </rPr>
          <t>Alexandre Macedo:</t>
        </r>
        <r>
          <rPr>
            <sz val="9"/>
            <color indexed="81"/>
            <rFont val="Segoe UI"/>
            <family val="2"/>
          </rPr>
          <t xml:space="preserve">
K0 expressa o multiplicador de preço unitário para captação (inferior a 1,0 (um) e definido pelo Inea. 
Definido como 0,4 pela Lei Estadual 4247/2003. </t>
        </r>
      </text>
    </comment>
    <comment ref="F30" authorId="0" shapeId="0" xr:uid="{730A0CC3-7727-4082-BD83-95CC9206ACB2}">
      <text>
        <r>
          <rPr>
            <b/>
            <sz val="9"/>
            <color indexed="81"/>
            <rFont val="Segoe UI"/>
            <family val="2"/>
          </rPr>
          <t>Alexandre Macedo:</t>
        </r>
        <r>
          <rPr>
            <sz val="9"/>
            <color indexed="81"/>
            <rFont val="Segoe UI"/>
            <family val="2"/>
          </rPr>
          <t xml:space="preserve">
</t>
        </r>
        <r>
          <rPr>
            <b/>
            <sz val="9"/>
            <color indexed="81"/>
            <rFont val="Segoe UI"/>
            <family val="2"/>
          </rPr>
          <t>K1:</t>
        </r>
        <r>
          <rPr>
            <sz val="9"/>
            <color indexed="81"/>
            <rFont val="Segoe UI"/>
            <family val="2"/>
          </rPr>
          <t xml:space="preserve"> expressa o coeficiente de consumo para a atividade do usuário em questão, ou seja, a relação entre o volume consumido e o volume captado pelo usuário ou o índice correspondente à parte do volume captado que não retorna ao manancial.
Definido como: (1 - coeficiente de retorno)</t>
        </r>
      </text>
    </comment>
    <comment ref="G30" authorId="0" shapeId="0" xr:uid="{4F9F6FA7-8525-45C2-8CA8-CD693BC3CCF3}">
      <text>
        <r>
          <rPr>
            <b/>
            <sz val="9"/>
            <color indexed="81"/>
            <rFont val="Segoe UI"/>
            <family val="2"/>
          </rPr>
          <t>Alexandre Macedo:</t>
        </r>
        <r>
          <rPr>
            <sz val="9"/>
            <color indexed="81"/>
            <rFont val="Segoe UI"/>
            <family val="2"/>
          </rPr>
          <t xml:space="preserve">
</t>
        </r>
        <r>
          <rPr>
            <b/>
            <sz val="9"/>
            <color indexed="81"/>
            <rFont val="Segoe UI"/>
            <family val="2"/>
          </rPr>
          <t>K2:</t>
        </r>
        <r>
          <rPr>
            <sz val="9"/>
            <color indexed="81"/>
            <rFont val="Segoe UI"/>
            <family val="2"/>
          </rPr>
          <t xml:space="preserve"> expressa o percentual do volume de efluentes tratados em relação ao volume total de efluentes produzidos ou o índice de cobertura de tratamento de efluentes doméstico ou industrial, ou seja, a relação entre a vazão efluente tratada e a vazão efluente bruta.
Desconsiderado, uma vez que não é realizado lançamento.</t>
        </r>
      </text>
    </comment>
    <comment ref="H30" authorId="0" shapeId="0" xr:uid="{8D6C15EB-40DC-4D17-BBFC-33B244BF9B22}">
      <text>
        <r>
          <rPr>
            <b/>
            <sz val="9"/>
            <color indexed="81"/>
            <rFont val="Segoe UI"/>
            <family val="2"/>
          </rPr>
          <t>Alexandre Macedo:</t>
        </r>
        <r>
          <rPr>
            <sz val="9"/>
            <color indexed="81"/>
            <rFont val="Segoe UI"/>
            <family val="2"/>
          </rPr>
          <t xml:space="preserve">
</t>
        </r>
        <r>
          <rPr>
            <b/>
            <sz val="9"/>
            <color indexed="81"/>
            <rFont val="Segoe UI"/>
            <family val="2"/>
          </rPr>
          <t>K3:</t>
        </r>
        <r>
          <rPr>
            <sz val="9"/>
            <color indexed="81"/>
            <rFont val="Segoe UI"/>
            <family val="2"/>
          </rPr>
          <t xml:space="preserve"> expressa o nível de eficiência de redução de DBO (Demanda Bioquímica de Oxigênio) na Estação de Tratamento de Efluentes.
Desconsiderado, uma vez que não é realizado lançamento.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Alexandre Macedo</author>
    <author>Marisa Morita</author>
  </authors>
  <commentList>
    <comment ref="E5" authorId="0" shapeId="0" xr:uid="{9E614992-9FF9-4E0A-BDDA-0857167F898F}">
      <text>
        <r>
          <rPr>
            <b/>
            <sz val="9"/>
            <color indexed="81"/>
            <rFont val="Segoe UI"/>
            <family val="2"/>
          </rPr>
          <t>Alexandre Macedo:</t>
        </r>
        <r>
          <rPr>
            <sz val="9"/>
            <color indexed="81"/>
            <rFont val="Segoe UI"/>
            <family val="2"/>
          </rPr>
          <t xml:space="preserve">
K0 expressa o multiplicador de preço unitário para captação (inferior a 1,0 (um) e definido pelo Inea. 
Definido como 0,4 pela Lei Estadual 4247/2003. </t>
        </r>
      </text>
    </comment>
    <comment ref="F5" authorId="0" shapeId="0" xr:uid="{03C30F5C-A9A8-4827-9928-99CFD6D2B103}">
      <text>
        <r>
          <rPr>
            <b/>
            <sz val="9"/>
            <color indexed="81"/>
            <rFont val="Segoe UI"/>
            <family val="2"/>
          </rPr>
          <t>Alexandre Macedo:</t>
        </r>
        <r>
          <rPr>
            <sz val="9"/>
            <color indexed="81"/>
            <rFont val="Segoe UI"/>
            <family val="2"/>
          </rPr>
          <t xml:space="preserve">
</t>
        </r>
        <r>
          <rPr>
            <b/>
            <sz val="9"/>
            <color indexed="81"/>
            <rFont val="Segoe UI"/>
            <family val="2"/>
          </rPr>
          <t>K1:</t>
        </r>
        <r>
          <rPr>
            <sz val="9"/>
            <color indexed="81"/>
            <rFont val="Segoe UI"/>
            <family val="2"/>
          </rPr>
          <t xml:space="preserve"> expressa o coeficiente de consumo para a atividade do usuário em questão, ou seja, a relação entre o volume consumido e o volume captado pelo usuário ou o índice correspondente à parte do volume captado que não retorna ao manancial.
Definido como: (1 - coeficiente de retorno)</t>
        </r>
      </text>
    </comment>
    <comment ref="G5" authorId="0" shapeId="0" xr:uid="{561AB1F7-21F3-4EE7-B8BF-866B0D7388E0}">
      <text>
        <r>
          <rPr>
            <b/>
            <sz val="9"/>
            <color indexed="81"/>
            <rFont val="Segoe UI"/>
            <family val="2"/>
          </rPr>
          <t>Alexandre Macedo:</t>
        </r>
        <r>
          <rPr>
            <sz val="9"/>
            <color indexed="81"/>
            <rFont val="Segoe UI"/>
            <family val="2"/>
          </rPr>
          <t xml:space="preserve">
</t>
        </r>
        <r>
          <rPr>
            <b/>
            <sz val="9"/>
            <color indexed="81"/>
            <rFont val="Segoe UI"/>
            <family val="2"/>
          </rPr>
          <t>K2:</t>
        </r>
        <r>
          <rPr>
            <sz val="9"/>
            <color indexed="81"/>
            <rFont val="Segoe UI"/>
            <family val="2"/>
          </rPr>
          <t xml:space="preserve"> expressa o percentual do volume de efluentes tratados em relação ao volume total de efluentes produzidos ou o índice de cobertura de tratamento de efluentes doméstico ou industrial, ou seja, a relação entre a vazão efluente tratada e a vazão efluente bruta.
Nas outorgas de captação: desconsiderado, uma vez que não é realizado lançamento.
Nas outorgas de lançamento: adotado valor de 1, considerando que toda a vazão da ETE é tratada.</t>
        </r>
      </text>
    </comment>
    <comment ref="H5" authorId="0" shapeId="0" xr:uid="{F4A1AB48-DF66-4E08-9AE1-22A21CB2DA31}">
      <text>
        <r>
          <rPr>
            <b/>
            <sz val="9"/>
            <color indexed="81"/>
            <rFont val="Segoe UI"/>
            <family val="2"/>
          </rPr>
          <t>Alexandre Macedo:</t>
        </r>
        <r>
          <rPr>
            <sz val="9"/>
            <color indexed="81"/>
            <rFont val="Segoe UI"/>
            <family val="2"/>
          </rPr>
          <t xml:space="preserve">
</t>
        </r>
        <r>
          <rPr>
            <b/>
            <sz val="9"/>
            <color indexed="81"/>
            <rFont val="Segoe UI"/>
            <family val="2"/>
          </rPr>
          <t>K3:</t>
        </r>
        <r>
          <rPr>
            <sz val="9"/>
            <color indexed="81"/>
            <rFont val="Segoe UI"/>
            <family val="2"/>
          </rPr>
          <t xml:space="preserve"> expressa o nível de eficiência de redução de DBO (Demanda Bioquímica de Oxigênio) na Estação de Tratamento de Efluentes.
</t>
        </r>
        <r>
          <rPr>
            <b/>
            <sz val="9"/>
            <color indexed="81"/>
            <rFont val="Segoe UI"/>
            <family val="2"/>
          </rPr>
          <t>Nas outorgas de captação:</t>
        </r>
        <r>
          <rPr>
            <sz val="9"/>
            <color indexed="81"/>
            <rFont val="Segoe UI"/>
            <family val="2"/>
          </rPr>
          <t xml:space="preserve"> desconsiderado, uma vez que não é realizado lançamento.
</t>
        </r>
        <r>
          <rPr>
            <b/>
            <sz val="9"/>
            <color indexed="81"/>
            <rFont val="Segoe UI"/>
            <family val="2"/>
          </rPr>
          <t xml:space="preserve">Nas outorgas de lançamento: </t>
        </r>
        <r>
          <rPr>
            <sz val="9"/>
            <color indexed="81"/>
            <rFont val="Segoe UI"/>
            <family val="2"/>
          </rPr>
          <t>Varia de acordo com a relação DBO Efluente Bruto e DBO Efluente Tratado do CNARH.</t>
        </r>
      </text>
    </comment>
    <comment ref="H13" authorId="1" shapeId="0" xr:uid="{32FF2A4B-ECC5-4E6D-98A1-58E91AA61FD2}">
      <text>
        <r>
          <rPr>
            <b/>
            <sz val="9"/>
            <color indexed="81"/>
            <rFont val="Segoe UI"/>
            <family val="2"/>
          </rPr>
          <t>Marisa Morita:</t>
        </r>
        <r>
          <rPr>
            <sz val="9"/>
            <color indexed="81"/>
            <rFont val="Segoe UI"/>
            <family val="2"/>
          </rPr>
          <t xml:space="preserve">
adotado como 0,9 com base na média dos outros pontos.</t>
        </r>
      </text>
    </comment>
    <comment ref="E21" authorId="0" shapeId="0" xr:uid="{7EC23520-8EE7-4A14-A224-4F2AEDB1E83C}">
      <text>
        <r>
          <rPr>
            <b/>
            <sz val="9"/>
            <color indexed="81"/>
            <rFont val="Segoe UI"/>
            <family val="2"/>
          </rPr>
          <t>Alexandre Macedo:</t>
        </r>
        <r>
          <rPr>
            <sz val="9"/>
            <color indexed="81"/>
            <rFont val="Segoe UI"/>
            <family val="2"/>
          </rPr>
          <t xml:space="preserve">
K0 expressa o multiplicador de preço unitário para captação (inferior a 1,0 (um) e definido pelo Inea. 
Definido como 0,4 pela Lei Estadual 4247/2003. </t>
        </r>
      </text>
    </comment>
    <comment ref="F21" authorId="0" shapeId="0" xr:uid="{885D8BDF-71B3-4EC8-A810-37C2C5B40ECF}">
      <text>
        <r>
          <rPr>
            <b/>
            <sz val="9"/>
            <color indexed="81"/>
            <rFont val="Segoe UI"/>
            <family val="2"/>
          </rPr>
          <t>Alexandre Macedo:</t>
        </r>
        <r>
          <rPr>
            <sz val="9"/>
            <color indexed="81"/>
            <rFont val="Segoe UI"/>
            <family val="2"/>
          </rPr>
          <t xml:space="preserve">
</t>
        </r>
        <r>
          <rPr>
            <b/>
            <sz val="9"/>
            <color indexed="81"/>
            <rFont val="Segoe UI"/>
            <family val="2"/>
          </rPr>
          <t>K1:</t>
        </r>
        <r>
          <rPr>
            <sz val="9"/>
            <color indexed="81"/>
            <rFont val="Segoe UI"/>
            <family val="2"/>
          </rPr>
          <t xml:space="preserve"> expressa o coeficiente de consumo para a atividade do usuário em questão, ou seja, a relação entre o volume consumido e o volume captado pelo usuário ou o índice correspondente à parte do volume captado que não retorna ao manancial.
Definido como: (1 - coeficiente de retorno)</t>
        </r>
      </text>
    </comment>
    <comment ref="G21" authorId="0" shapeId="0" xr:uid="{C8D3C847-AE02-41D4-8D8A-56C14F4085D5}">
      <text>
        <r>
          <rPr>
            <b/>
            <sz val="9"/>
            <color indexed="81"/>
            <rFont val="Segoe UI"/>
            <family val="2"/>
          </rPr>
          <t>Alexandre Macedo:</t>
        </r>
        <r>
          <rPr>
            <sz val="9"/>
            <color indexed="81"/>
            <rFont val="Segoe UI"/>
            <family val="2"/>
          </rPr>
          <t xml:space="preserve">
</t>
        </r>
        <r>
          <rPr>
            <b/>
            <sz val="9"/>
            <color indexed="81"/>
            <rFont val="Segoe UI"/>
            <family val="2"/>
          </rPr>
          <t>K2:</t>
        </r>
        <r>
          <rPr>
            <sz val="9"/>
            <color indexed="81"/>
            <rFont val="Segoe UI"/>
            <family val="2"/>
          </rPr>
          <t xml:space="preserve"> expressa o percentual do volume de efluentes tratados em relação ao volume total de efluentes produzidos ou o índice de cobertura de tratamento de efluentes doméstico ou industrial, ou seja, a relação entre a vazão efluente tratada e a vazão efluente bruta.
Nas outorgas de captação: desconsiderado, uma vez que não é realizado lançamento.
Nas outorgas de lançamento: adotado valor de 1, considerando que toda a vazão da ETE é tratada.</t>
        </r>
      </text>
    </comment>
    <comment ref="H21" authorId="0" shapeId="0" xr:uid="{9CC106A6-FA81-4F0E-A8B6-DB6A4510AD95}">
      <text>
        <r>
          <rPr>
            <b/>
            <sz val="9"/>
            <color indexed="81"/>
            <rFont val="Segoe UI"/>
            <family val="2"/>
          </rPr>
          <t>Alexandre Macedo:</t>
        </r>
        <r>
          <rPr>
            <sz val="9"/>
            <color indexed="81"/>
            <rFont val="Segoe UI"/>
            <family val="2"/>
          </rPr>
          <t xml:space="preserve">
</t>
        </r>
        <r>
          <rPr>
            <b/>
            <sz val="9"/>
            <color indexed="81"/>
            <rFont val="Segoe UI"/>
            <family val="2"/>
          </rPr>
          <t>K3:</t>
        </r>
        <r>
          <rPr>
            <sz val="9"/>
            <color indexed="81"/>
            <rFont val="Segoe UI"/>
            <family val="2"/>
          </rPr>
          <t xml:space="preserve"> expressa o nível de eficiência de redução de DBO (Demanda Bioquímica de Oxigênio) na Estação de Tratamento de Efluentes.
</t>
        </r>
        <r>
          <rPr>
            <b/>
            <sz val="9"/>
            <color indexed="81"/>
            <rFont val="Segoe UI"/>
            <family val="2"/>
          </rPr>
          <t>Nas outorgas de captação:</t>
        </r>
        <r>
          <rPr>
            <sz val="9"/>
            <color indexed="81"/>
            <rFont val="Segoe UI"/>
            <family val="2"/>
          </rPr>
          <t xml:space="preserve"> desconsiderado, uma vez que não é realizado lançamento.
</t>
        </r>
        <r>
          <rPr>
            <b/>
            <sz val="9"/>
            <color indexed="81"/>
            <rFont val="Segoe UI"/>
            <family val="2"/>
          </rPr>
          <t xml:space="preserve">Nas outorgas de lançamento: </t>
        </r>
        <r>
          <rPr>
            <sz val="9"/>
            <color indexed="81"/>
            <rFont val="Segoe UI"/>
            <family val="2"/>
          </rPr>
          <t>Varia de acordo com a relação DBO Efluente Bruto e DBO Efluente Tratado do CNARH.</t>
        </r>
      </text>
    </comment>
    <comment ref="H28" authorId="1" shapeId="0" xr:uid="{E0ABFD47-B5EB-4DF8-A1D6-9E8F677FD2D2}">
      <text>
        <r>
          <rPr>
            <b/>
            <sz val="9"/>
            <color indexed="81"/>
            <rFont val="Segoe UI"/>
            <family val="2"/>
          </rPr>
          <t>Marisa Morita:</t>
        </r>
        <r>
          <rPr>
            <sz val="9"/>
            <color indexed="81"/>
            <rFont val="Segoe UI"/>
            <family val="2"/>
          </rPr>
          <t xml:space="preserve">
adotado como 0,9 com base na média dos outros pontos.</t>
        </r>
      </text>
    </comment>
    <comment ref="H29" authorId="1" shapeId="0" xr:uid="{7AB4BA77-269E-41D2-9B54-8640843B7C50}">
      <text>
        <r>
          <rPr>
            <b/>
            <sz val="9"/>
            <color indexed="81"/>
            <rFont val="Segoe UI"/>
            <family val="2"/>
          </rPr>
          <t>Marisa Morita:</t>
        </r>
        <r>
          <rPr>
            <sz val="9"/>
            <color indexed="81"/>
            <rFont val="Segoe UI"/>
            <family val="2"/>
          </rPr>
          <t xml:space="preserve">
adotado como 0,9 com base na média dos outros pontos.</t>
        </r>
      </text>
    </comment>
    <comment ref="E40" authorId="0" shapeId="0" xr:uid="{14AD2713-50F6-4BA7-8449-DA2C0B12F878}">
      <text>
        <r>
          <rPr>
            <b/>
            <sz val="9"/>
            <color indexed="81"/>
            <rFont val="Segoe UI"/>
            <family val="2"/>
          </rPr>
          <t>Alexandre Macedo:</t>
        </r>
        <r>
          <rPr>
            <sz val="9"/>
            <color indexed="81"/>
            <rFont val="Segoe UI"/>
            <family val="2"/>
          </rPr>
          <t xml:space="preserve">
</t>
        </r>
        <r>
          <rPr>
            <b/>
            <sz val="9"/>
            <color indexed="81"/>
            <rFont val="Segoe UI"/>
            <family val="2"/>
          </rPr>
          <t xml:space="preserve">K0: </t>
        </r>
        <r>
          <rPr>
            <sz val="9"/>
            <color indexed="81"/>
            <rFont val="Segoe UI"/>
            <family val="2"/>
          </rPr>
          <t xml:space="preserve">expressa o multiplicador de preço unitário para captação (inferior a 1,0 (um) e definido pelo Inea. 
Definido como 0,4 pela Lei Estadual 4247/2003. </t>
        </r>
      </text>
    </comment>
    <comment ref="F40" authorId="0" shapeId="0" xr:uid="{B8210247-354C-455F-B5CD-6703D28E7D80}">
      <text>
        <r>
          <rPr>
            <b/>
            <sz val="9"/>
            <color indexed="81"/>
            <rFont val="Segoe UI"/>
            <family val="2"/>
          </rPr>
          <t>Alexandre Macedo:</t>
        </r>
        <r>
          <rPr>
            <sz val="9"/>
            <color indexed="81"/>
            <rFont val="Segoe UI"/>
            <family val="2"/>
          </rPr>
          <t xml:space="preserve">
</t>
        </r>
        <r>
          <rPr>
            <b/>
            <sz val="9"/>
            <color indexed="81"/>
            <rFont val="Segoe UI"/>
            <family val="2"/>
          </rPr>
          <t xml:space="preserve">K1: </t>
        </r>
        <r>
          <rPr>
            <sz val="9"/>
            <color indexed="81"/>
            <rFont val="Segoe UI"/>
            <family val="2"/>
          </rPr>
          <t>expressa o coeficiente de consumo para a atividade do usuário em questão, ou seja, a relação entre o volume consumido e o volume captado pelo usuário ou o índice correspondente à parte do volume captado que não retorna ao manancial.
Definido como: (1 - coeficiente de retorno)</t>
        </r>
      </text>
    </comment>
    <comment ref="G40" authorId="0" shapeId="0" xr:uid="{83260CFD-4C45-46DA-B980-F75B7DE5AF3C}">
      <text>
        <r>
          <rPr>
            <b/>
            <sz val="9"/>
            <color indexed="81"/>
            <rFont val="Segoe UI"/>
            <family val="2"/>
          </rPr>
          <t>Alexandre Macedo:</t>
        </r>
        <r>
          <rPr>
            <sz val="9"/>
            <color indexed="81"/>
            <rFont val="Segoe UI"/>
            <family val="2"/>
          </rPr>
          <t xml:space="preserve">
</t>
        </r>
        <r>
          <rPr>
            <b/>
            <sz val="9"/>
            <color indexed="81"/>
            <rFont val="Segoe UI"/>
            <family val="2"/>
          </rPr>
          <t>K2:</t>
        </r>
        <r>
          <rPr>
            <sz val="9"/>
            <color indexed="81"/>
            <rFont val="Segoe UI"/>
            <family val="2"/>
          </rPr>
          <t xml:space="preserve"> expressa o percentual do volume de efluentes tratados em relação ao volume total de efluentes produzidos ou o índice de cobertura de tratamento de efluentes doméstico ou industrial, ou seja, a relação entre a vazão efluente tratada e a vazão efluente bruta.
Adotado como 1, considerando que toda a vazão que entra na ETE sai</t>
        </r>
      </text>
    </comment>
    <comment ref="H40" authorId="0" shapeId="0" xr:uid="{1A4A9DE8-51FD-4CD2-96C4-96578761C6C4}">
      <text>
        <r>
          <rPr>
            <b/>
            <sz val="9"/>
            <color indexed="81"/>
            <rFont val="Segoe UI"/>
            <family val="2"/>
          </rPr>
          <t>Alexandre Macedo:</t>
        </r>
        <r>
          <rPr>
            <sz val="9"/>
            <color indexed="81"/>
            <rFont val="Segoe UI"/>
            <family val="2"/>
          </rPr>
          <t xml:space="preserve">
</t>
        </r>
        <r>
          <rPr>
            <b/>
            <sz val="9"/>
            <color indexed="81"/>
            <rFont val="Segoe UI"/>
            <family val="2"/>
          </rPr>
          <t xml:space="preserve">K3: </t>
        </r>
        <r>
          <rPr>
            <sz val="9"/>
            <color indexed="81"/>
            <rFont val="Segoe UI"/>
            <family val="2"/>
          </rPr>
          <t>expressa o nível de eficiência de redução de DBO (Demanda Bioquímica de Oxigênio) na Estação de Tratamento de Efluentes.
Considerada a eficiência mínima apontada no Art. 21 da Conama nº 430/2011.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Marisa Morita</author>
  </authors>
  <commentList>
    <comment ref="B3" authorId="0" shapeId="0" xr:uid="{4621571A-9F3B-426B-992C-1639D3DBA454}">
      <text>
        <r>
          <rPr>
            <b/>
            <sz val="9"/>
            <color indexed="81"/>
            <rFont val="Segoe UI"/>
            <family val="2"/>
          </rPr>
          <t>Marisa Morita:</t>
        </r>
        <r>
          <rPr>
            <sz val="9"/>
            <color indexed="81"/>
            <rFont val="Segoe UI"/>
            <family val="2"/>
          </rPr>
          <t xml:space="preserve">
Mudar apenas essas células</t>
        </r>
      </text>
    </comment>
    <comment ref="B4" authorId="0" shapeId="0" xr:uid="{4475A60E-B481-4CA4-8C38-C4FE02DD9258}">
      <text>
        <r>
          <rPr>
            <b/>
            <sz val="9"/>
            <color indexed="81"/>
            <rFont val="Segoe UI"/>
            <family val="2"/>
          </rPr>
          <t>Marisa Morita:</t>
        </r>
        <r>
          <rPr>
            <sz val="9"/>
            <color indexed="81"/>
            <rFont val="Segoe UI"/>
            <family val="2"/>
          </rPr>
          <t xml:space="preserve">
Mudar apenas essas células.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Marisa Morita</author>
  </authors>
  <commentList>
    <comment ref="B3" authorId="0" shapeId="0" xr:uid="{AA6A43DC-7A00-4352-91AD-93E13977FC2D}">
      <text>
        <r>
          <rPr>
            <b/>
            <sz val="9"/>
            <color indexed="81"/>
            <rFont val="Segoe UI"/>
            <family val="2"/>
          </rPr>
          <t>Marisa Morita:</t>
        </r>
        <r>
          <rPr>
            <sz val="9"/>
            <color indexed="81"/>
            <rFont val="Segoe UI"/>
            <family val="2"/>
          </rPr>
          <t xml:space="preserve">
Mudar apenas essas células</t>
        </r>
      </text>
    </comment>
    <comment ref="B4" authorId="0" shapeId="0" xr:uid="{ABBFA529-096E-4500-A1F8-AC8446FBC17B}">
      <text>
        <r>
          <rPr>
            <b/>
            <sz val="9"/>
            <color indexed="81"/>
            <rFont val="Segoe UI"/>
            <family val="2"/>
          </rPr>
          <t>Marisa Morita:</t>
        </r>
        <r>
          <rPr>
            <sz val="9"/>
            <color indexed="81"/>
            <rFont val="Segoe UI"/>
            <family val="2"/>
          </rPr>
          <t xml:space="preserve">
Mudar apenas essas células.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Marisa Morita</author>
  </authors>
  <commentList>
    <comment ref="B3" authorId="0" shapeId="0" xr:uid="{AFA1DDA7-F942-4367-AB9C-D71FAEFF44AB}">
      <text>
        <r>
          <rPr>
            <b/>
            <sz val="9"/>
            <color indexed="81"/>
            <rFont val="Segoe UI"/>
            <family val="2"/>
          </rPr>
          <t>Marisa Morita:</t>
        </r>
        <r>
          <rPr>
            <sz val="9"/>
            <color indexed="81"/>
            <rFont val="Segoe UI"/>
            <family val="2"/>
          </rPr>
          <t xml:space="preserve">
Mudar apenas essas células</t>
        </r>
      </text>
    </comment>
    <comment ref="B4" authorId="0" shapeId="0" xr:uid="{CBDB1DA2-5D7A-4FF0-A2D2-936294E5C78F}">
      <text>
        <r>
          <rPr>
            <b/>
            <sz val="9"/>
            <color indexed="81"/>
            <rFont val="Segoe UI"/>
            <family val="2"/>
          </rPr>
          <t>Marisa Morita:</t>
        </r>
        <r>
          <rPr>
            <sz val="9"/>
            <color indexed="81"/>
            <rFont val="Segoe UI"/>
            <family val="2"/>
          </rPr>
          <t xml:space="preserve">
Mudar apenas essas células.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Marisa Morita</author>
  </authors>
  <commentList>
    <comment ref="B3" authorId="0" shapeId="0" xr:uid="{5FCD97CD-0889-44E2-92BE-D5464A6EAAA8}">
      <text>
        <r>
          <rPr>
            <b/>
            <sz val="9"/>
            <color indexed="81"/>
            <rFont val="Segoe UI"/>
            <family val="2"/>
          </rPr>
          <t>Marisa Morita:</t>
        </r>
        <r>
          <rPr>
            <sz val="9"/>
            <color indexed="81"/>
            <rFont val="Segoe UI"/>
            <family val="2"/>
          </rPr>
          <t xml:space="preserve">
Mudar apenas essas células</t>
        </r>
      </text>
    </comment>
    <comment ref="B4" authorId="0" shapeId="0" xr:uid="{96A15766-1772-4A43-8DE0-906959BB1B37}">
      <text>
        <r>
          <rPr>
            <b/>
            <sz val="9"/>
            <color indexed="81"/>
            <rFont val="Segoe UI"/>
            <family val="2"/>
          </rPr>
          <t>Marisa Morita:</t>
        </r>
        <r>
          <rPr>
            <sz val="9"/>
            <color indexed="81"/>
            <rFont val="Segoe UI"/>
            <family val="2"/>
          </rPr>
          <t xml:space="preserve">
Mudar apenas essas células.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<sst xmlns="http://schemas.openxmlformats.org/spreadsheetml/2006/main" count="1573" uniqueCount="114">
  <si>
    <t>RENDA BRUTA</t>
  </si>
  <si>
    <t>ABASTECIMENTO</t>
  </si>
  <si>
    <t xml:space="preserve">AQUICULTURA </t>
  </si>
  <si>
    <t>INDÚSTRIA</t>
  </si>
  <si>
    <t>IRRIGAÇÃO</t>
  </si>
  <si>
    <t>TERMELÉTRICA</t>
  </si>
  <si>
    <t>FN002 - Receita operacional direta de água/SNIS - 2022</t>
  </si>
  <si>
    <t>Valor da venda de produtos da aquicultura / Sidra IBGE - Tabela 9272 - 2017</t>
  </si>
  <si>
    <t>Valor adicionado bruto a preços correntes da indústria / Sidra IBGE - Tabela 5938 - 2021</t>
  </si>
  <si>
    <t>Valor adicionado bruto a preços correntes da agropecuária / Sidra IBGE - Tabela 5938 - 2021</t>
  </si>
  <si>
    <t>Balanços patrimoniais das Termelétricas / 2022</t>
  </si>
  <si>
    <t>Carapebus</t>
  </si>
  <si>
    <t>Casimiro de Abreu</t>
  </si>
  <si>
    <t>Conceição de Macabu</t>
  </si>
  <si>
    <t>Macaé</t>
  </si>
  <si>
    <t>Nova Friburgo</t>
  </si>
  <si>
    <t>Rio das Ostras</t>
  </si>
  <si>
    <t>RH-VIII</t>
  </si>
  <si>
    <t>Renda calculada com base nos indicadores do SNIS/ Sidra IBGE e Balanços patrimoniais das termoelétricas</t>
  </si>
  <si>
    <t>Norte Fluminense</t>
  </si>
  <si>
    <t>Termomacaé</t>
  </si>
  <si>
    <t>Correção para preços correntes</t>
  </si>
  <si>
    <t>Deflator</t>
  </si>
  <si>
    <t>IPCA 2022-2023</t>
  </si>
  <si>
    <t>IPCA 2017-2023</t>
  </si>
  <si>
    <t>IPCA 2021-2023</t>
  </si>
  <si>
    <t>RENDA COM CORREÇÃO MONETÁRIA</t>
  </si>
  <si>
    <t>FN002 - Receita operacional direta de água/SNIS - 2023</t>
  </si>
  <si>
    <t>Valor da venda de produtos da aquicultura / Sidra IBGE - Tabela 9272 - 2023</t>
  </si>
  <si>
    <t>Valor adicionado bruto a preços correntes da indústria / Sidra IBGE - Tabela 5938 -  2023</t>
  </si>
  <si>
    <t>Valor adicionado bruto a preços correntes da agropecuária / Sidra IBGE - Tabela 5938 -  2023</t>
  </si>
  <si>
    <t>Renda Líquida do Balanço Patrimonial / Balanços das empresas - 2023</t>
  </si>
  <si>
    <t xml:space="preserve">RENDA DOS SETORES USUÁRIOS </t>
  </si>
  <si>
    <t>Renda corrigida</t>
  </si>
  <si>
    <t>Metodologia:</t>
  </si>
  <si>
    <t>Demandas:</t>
  </si>
  <si>
    <t>Municípios</t>
  </si>
  <si>
    <t>Coeficientes</t>
  </si>
  <si>
    <t>K0 (-)</t>
  </si>
  <si>
    <t>K1 (-)</t>
  </si>
  <si>
    <t>K2 (%)</t>
  </si>
  <si>
    <t>K3 (-)</t>
  </si>
  <si>
    <t>Valor Cobrado Anual (R$/ano)</t>
  </si>
  <si>
    <t>R$/m³</t>
  </si>
  <si>
    <t>ABASTECIMENTO PÚBLICO</t>
  </si>
  <si>
    <t>AQUICULTURA</t>
  </si>
  <si>
    <t>TERMOELÉTRICA</t>
  </si>
  <si>
    <t>MUNICÍPIOS</t>
  </si>
  <si>
    <t>Arrecadação por Setor</t>
  </si>
  <si>
    <t>Impacto por Setor</t>
  </si>
  <si>
    <t>Arrecadação/Renda (%)</t>
  </si>
  <si>
    <t>Município</t>
  </si>
  <si>
    <t>Manual de Usos Consuntivos</t>
  </si>
  <si>
    <t>Atlas Águas</t>
  </si>
  <si>
    <t>SNIS</t>
  </si>
  <si>
    <t>PERHI-RJ</t>
  </si>
  <si>
    <t>Ref.: 2023</t>
  </si>
  <si>
    <t>Ref.: 2020</t>
  </si>
  <si>
    <t>Ref.: 2021</t>
  </si>
  <si>
    <t>Ref. 2022</t>
  </si>
  <si>
    <t>Ref. 2014</t>
  </si>
  <si>
    <t>Total</t>
  </si>
  <si>
    <t>DEMANDAS HÍDRICAS RH-VIII</t>
  </si>
  <si>
    <t>PPU 1</t>
  </si>
  <si>
    <t>PPU 2</t>
  </si>
  <si>
    <t>PPU 3</t>
  </si>
  <si>
    <t>Cadastro de Outorga (Outorgado)</t>
  </si>
  <si>
    <t>Cadastro de Outorgas (Total)</t>
  </si>
  <si>
    <r>
      <t>(m</t>
    </r>
    <r>
      <rPr>
        <b/>
        <vertAlign val="superscript"/>
        <sz val="8"/>
        <rFont val="Arial"/>
        <family val="2"/>
      </rPr>
      <t>3</t>
    </r>
    <r>
      <rPr>
        <b/>
        <sz val="8"/>
        <rFont val="Arial"/>
        <family val="2"/>
      </rPr>
      <t>/s)</t>
    </r>
  </si>
  <si>
    <t>Cenário 1</t>
  </si>
  <si>
    <t>VARIAÇÕES DO PPU</t>
  </si>
  <si>
    <t>Cenário 2</t>
  </si>
  <si>
    <t>Cenário</t>
  </si>
  <si>
    <t>PPU</t>
  </si>
  <si>
    <t>Demandas</t>
  </si>
  <si>
    <t>SÍNTESE IMPACTO CENÁRIOS</t>
  </si>
  <si>
    <t>Cenário 3</t>
  </si>
  <si>
    <t>..</t>
  </si>
  <si>
    <t>A.1.1</t>
  </si>
  <si>
    <t>A.1.2</t>
  </si>
  <si>
    <t>A.1.3</t>
  </si>
  <si>
    <t>A.2.1</t>
  </si>
  <si>
    <t>A.2.2</t>
  </si>
  <si>
    <t>A.2.3</t>
  </si>
  <si>
    <t>A.3.1</t>
  </si>
  <si>
    <t>A.3.2</t>
  </si>
  <si>
    <t>A.3.3</t>
  </si>
  <si>
    <t>CENÁRIO A.1.1</t>
  </si>
  <si>
    <t>CENÁRIO A.1.2</t>
  </si>
  <si>
    <t>CENÁRIO A.1.3</t>
  </si>
  <si>
    <t>CENÁRIO A.2.1</t>
  </si>
  <si>
    <t>CENÁRIO A.3.3</t>
  </si>
  <si>
    <t>CENÁRIO A.3.2</t>
  </si>
  <si>
    <t>CENÁRIO A.3.1</t>
  </si>
  <si>
    <t>CENÁRIO A.2.3</t>
  </si>
  <si>
    <t>CENÁRIO A.2.2</t>
  </si>
  <si>
    <t>Maiores demandas hídricas</t>
  </si>
  <si>
    <t>Processos de outorga em análise e outorgados</t>
  </si>
  <si>
    <t>Processos de outorga outorgados</t>
  </si>
  <si>
    <t>PPU:</t>
  </si>
  <si>
    <t>As simulações de Potencial de Arrecadação "A" utilizaram da metodologia adotada para cobrança na Bacia Macaé e das Ostras</t>
  </si>
  <si>
    <t>Abastecimento Público</t>
  </si>
  <si>
    <t>Vazão anual (m³/ano)</t>
  </si>
  <si>
    <t>Vazão anual ponderada (m³/ano)</t>
  </si>
  <si>
    <t>-</t>
  </si>
  <si>
    <t>Captação</t>
  </si>
  <si>
    <t>Lançamento</t>
  </si>
  <si>
    <t>Usuários</t>
  </si>
  <si>
    <t>Cenários de Demandas Hídricas - Vazões ponderadas</t>
  </si>
  <si>
    <t>Vazões ponderadas (m³/ano)</t>
  </si>
  <si>
    <t>Aquicultura</t>
  </si>
  <si>
    <t>Tipo</t>
  </si>
  <si>
    <t>Captação e Lançamento</t>
  </si>
  <si>
    <t>Indústria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</si>
</sst>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0.0000"/>
    <numFmt numFmtId="165" formatCode="0.0"/>
    <numFmt numFmtId="166" formatCode="0.00000"/>
  </numFmts>
  <fonts count="19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8"/>
      <color rgb="FF00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color theme="0"/>
      <name val="Arial"/>
      <family val="2"/>
    </font>
    <font>
      <b/>
      <sz val="12"/>
      <color theme="0"/>
      <name val="Arial"/>
      <family val="2"/>
    </font>
    <font>
      <b/>
      <sz val="9"/>
      <color indexed="81"/>
      <name val="Segoe UI"/>
      <family val="2"/>
    </font>
    <font>
      <sz val="9"/>
      <color indexed="81"/>
      <name val="Segoe UI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b/>
      <sz val="8"/>
      <name val="Arial"/>
      <family val="2"/>
    </font>
    <font>
      <b/>
      <sz val="8"/>
      <color theme="1"/>
      <name val="Arial"/>
      <family val="2"/>
    </font>
    <font>
      <b/>
      <vertAlign val="superscript"/>
      <sz val="8"/>
      <name val="Arial"/>
      <family val="2"/>
    </font>
    <font>
      <b/>
      <sz val="8"/>
      <color rgb="FF000000"/>
      <name val="Arial"/>
      <family val="2"/>
    </font>
    <font>
      <b/>
      <sz val="9"/>
      <color theme="0"/>
      <name val="Arial"/>
      <family val="2"/>
    </font>
    <font>
      <b/>
      <sz val="8"/>
      <color theme="0"/>
      <name val="Arial"/>
      <family val="2"/>
    </font>
    <font>
      <b/>
      <i/>
      <sz val="8"/>
      <color theme="1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/>
      <top/>
      <bottom style="thin">
        <color theme="0" tint="-0.14999847407452621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/>
      <diagonal/>
    </border>
    <border>
      <left/>
      <right style="thin">
        <color theme="0" tint="-0.14999847407452621"/>
      </right>
      <top style="thin">
        <color theme="0" tint="-0.14999847407452621"/>
      </top>
      <bottom/>
      <diagonal/>
    </border>
    <border>
      <left/>
      <right style="thin">
        <color theme="0" tint="-0.14999847407452621"/>
      </right>
      <top/>
      <bottom/>
      <diagonal/>
    </border>
    <border>
      <left/>
      <right style="thin">
        <color theme="0" tint="-0.14999847407452621"/>
      </right>
      <top/>
      <bottom style="thin">
        <color theme="0" tint="-0.14999847407452621"/>
      </bottom>
      <diagonal/>
    </border>
    <border>
      <left/>
      <right/>
      <top style="thin">
        <color theme="0" tint="-0.14999847407452621"/>
      </top>
      <bottom style="thin">
        <color theme="0" tint="-0.14999847407452621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65">
    <xf numFmtId="0" fontId="0" fillId="0" borderId="0" xfId="0"/>
    <xf numFmtId="0" fontId="3" fillId="2" borderId="0" xfId="0" applyFont="1" applyFill="1"/>
    <xf numFmtId="0" fontId="4" fillId="2" borderId="0" xfId="0" applyFont="1" applyFill="1"/>
    <xf numFmtId="0" fontId="3" fillId="2" borderId="3" xfId="0" applyFont="1" applyFill="1" applyBorder="1"/>
    <xf numFmtId="0" fontId="3" fillId="2" borderId="4" xfId="0" applyFont="1" applyFill="1" applyBorder="1"/>
    <xf numFmtId="0" fontId="4" fillId="2" borderId="3" xfId="0" applyFont="1" applyFill="1" applyBorder="1"/>
    <xf numFmtId="0" fontId="3" fillId="2" borderId="10" xfId="0" applyFont="1" applyFill="1" applyBorder="1"/>
    <xf numFmtId="0" fontId="3" fillId="2" borderId="0" xfId="0" applyFont="1" applyFill="1" applyAlignment="1">
      <alignment horizontal="left"/>
    </xf>
    <xf numFmtId="0" fontId="10" fillId="2" borderId="0" xfId="0" applyFont="1" applyFill="1"/>
    <xf numFmtId="44" fontId="10" fillId="2" borderId="0" xfId="0" applyNumberFormat="1" applyFont="1" applyFill="1"/>
    <xf numFmtId="0" fontId="10" fillId="2" borderId="10" xfId="0" applyFont="1" applyFill="1" applyBorder="1"/>
    <xf numFmtId="0" fontId="10" fillId="2" borderId="0" xfId="0" applyFont="1" applyFill="1" applyAlignment="1">
      <alignment horizontal="center"/>
    </xf>
    <xf numFmtId="44" fontId="3" fillId="2" borderId="0" xfId="0" applyNumberFormat="1" applyFont="1" applyFill="1" applyAlignment="1">
      <alignment horizontal="right"/>
    </xf>
    <xf numFmtId="44" fontId="3" fillId="2" borderId="0" xfId="0" applyNumberFormat="1" applyFont="1" applyFill="1" applyAlignment="1">
      <alignment horizontal="center"/>
    </xf>
    <xf numFmtId="44" fontId="3" fillId="2" borderId="0" xfId="1" applyNumberFormat="1" applyFont="1" applyFill="1" applyBorder="1"/>
    <xf numFmtId="0" fontId="4" fillId="6" borderId="16" xfId="0" applyFont="1" applyFill="1" applyBorder="1" applyAlignment="1">
      <alignment horizontal="center"/>
    </xf>
    <xf numFmtId="0" fontId="4" fillId="6" borderId="14" xfId="0" applyFont="1" applyFill="1" applyBorder="1" applyAlignment="1">
      <alignment horizontal="center" vertical="center" wrapText="1"/>
    </xf>
    <xf numFmtId="0" fontId="4" fillId="6" borderId="12" xfId="0" applyFont="1" applyFill="1" applyBorder="1" applyAlignment="1">
      <alignment horizontal="center"/>
    </xf>
    <xf numFmtId="44" fontId="3" fillId="2" borderId="14" xfId="0" applyNumberFormat="1" applyFont="1" applyFill="1" applyBorder="1" applyAlignment="1">
      <alignment horizontal="right"/>
    </xf>
    <xf numFmtId="44" fontId="3" fillId="2" borderId="14" xfId="0" applyNumberFormat="1" applyFont="1" applyFill="1" applyBorder="1" applyAlignment="1">
      <alignment horizontal="center"/>
    </xf>
    <xf numFmtId="9" fontId="3" fillId="2" borderId="14" xfId="2" applyFont="1" applyFill="1" applyBorder="1" applyAlignment="1">
      <alignment horizontal="center"/>
    </xf>
    <xf numFmtId="0" fontId="4" fillId="6" borderId="16" xfId="0" applyFont="1" applyFill="1" applyBorder="1" applyAlignment="1">
      <alignment horizontal="center" vertical="center" wrapText="1"/>
    </xf>
    <xf numFmtId="44" fontId="3" fillId="2" borderId="14" xfId="1" applyNumberFormat="1" applyFont="1" applyFill="1" applyBorder="1"/>
    <xf numFmtId="44" fontId="3" fillId="6" borderId="1" xfId="0" applyNumberFormat="1" applyFont="1" applyFill="1" applyBorder="1"/>
    <xf numFmtId="44" fontId="3" fillId="6" borderId="1" xfId="1" applyNumberFormat="1" applyFont="1" applyFill="1" applyBorder="1"/>
    <xf numFmtId="0" fontId="3" fillId="2" borderId="3" xfId="0" applyFont="1" applyFill="1" applyBorder="1" applyAlignment="1">
      <alignment horizontal="center"/>
    </xf>
    <xf numFmtId="0" fontId="4" fillId="6" borderId="6" xfId="0" applyFont="1" applyFill="1" applyBorder="1"/>
    <xf numFmtId="0" fontId="3" fillId="2" borderId="7" xfId="0" applyFont="1" applyFill="1" applyBorder="1" applyAlignment="1">
      <alignment horizontal="center"/>
    </xf>
    <xf numFmtId="0" fontId="3" fillId="2" borderId="7" xfId="0" applyFont="1" applyFill="1" applyBorder="1"/>
    <xf numFmtId="0" fontId="4" fillId="2" borderId="9" xfId="0" applyFont="1" applyFill="1" applyBorder="1"/>
    <xf numFmtId="44" fontId="4" fillId="2" borderId="11" xfId="1" applyNumberFormat="1" applyFont="1" applyFill="1" applyBorder="1"/>
    <xf numFmtId="0" fontId="3" fillId="2" borderId="19" xfId="0" applyFont="1" applyFill="1" applyBorder="1"/>
    <xf numFmtId="0" fontId="11" fillId="2" borderId="0" xfId="0" applyFont="1" applyFill="1"/>
    <xf numFmtId="0" fontId="11" fillId="2" borderId="0" xfId="0" applyFont="1" applyFill="1" applyAlignment="1">
      <alignment horizontal="left"/>
    </xf>
    <xf numFmtId="0" fontId="13" fillId="2" borderId="0" xfId="0" applyFont="1" applyFill="1"/>
    <xf numFmtId="0" fontId="9" fillId="7" borderId="16" xfId="0" applyFont="1" applyFill="1" applyBorder="1" applyAlignment="1">
      <alignment horizontal="center"/>
    </xf>
    <xf numFmtId="0" fontId="9" fillId="2" borderId="11" xfId="0" applyFont="1" applyFill="1" applyBorder="1"/>
    <xf numFmtId="44" fontId="9" fillId="2" borderId="11" xfId="0" applyNumberFormat="1" applyFont="1" applyFill="1" applyBorder="1"/>
    <xf numFmtId="0" fontId="9" fillId="6" borderId="0" xfId="0" applyFont="1" applyFill="1"/>
    <xf numFmtId="0" fontId="10" fillId="6" borderId="0" xfId="0" applyFont="1" applyFill="1" applyAlignment="1">
      <alignment wrapText="1"/>
    </xf>
    <xf numFmtId="0" fontId="10" fillId="6" borderId="0" xfId="0" applyFont="1" applyFill="1"/>
    <xf numFmtId="0" fontId="10" fillId="2" borderId="10" xfId="0" applyFont="1" applyFill="1" applyBorder="1" applyAlignment="1">
      <alignment wrapText="1"/>
    </xf>
    <xf numFmtId="0" fontId="10" fillId="2" borderId="0" xfId="0" applyFont="1" applyFill="1" applyAlignment="1">
      <alignment wrapText="1"/>
    </xf>
    <xf numFmtId="0" fontId="4" fillId="2" borderId="0" xfId="0" applyFont="1" applyFill="1" applyAlignment="1">
      <alignment horizontal="left"/>
    </xf>
    <xf numFmtId="0" fontId="10" fillId="6" borderId="0" xfId="0" applyFont="1" applyFill="1" applyAlignment="1">
      <alignment horizontal="left"/>
    </xf>
    <xf numFmtId="10" fontId="10" fillId="2" borderId="0" xfId="2" applyNumberFormat="1" applyFont="1" applyFill="1" applyAlignment="1">
      <alignment vertical="center"/>
    </xf>
    <xf numFmtId="10" fontId="9" fillId="2" borderId="11" xfId="2" applyNumberFormat="1" applyFont="1" applyFill="1" applyBorder="1" applyAlignment="1">
      <alignment vertical="center"/>
    </xf>
    <xf numFmtId="0" fontId="9" fillId="7" borderId="20" xfId="0" applyFont="1" applyFill="1" applyBorder="1" applyAlignment="1">
      <alignment horizontal="center"/>
    </xf>
    <xf numFmtId="0" fontId="10" fillId="2" borderId="3" xfId="0" applyFont="1" applyFill="1" applyBorder="1"/>
    <xf numFmtId="0" fontId="9" fillId="2" borderId="9" xfId="0" applyFont="1" applyFill="1" applyBorder="1"/>
    <xf numFmtId="10" fontId="10" fillId="2" borderId="0" xfId="2" applyNumberFormat="1" applyFont="1" applyFill="1" applyBorder="1" applyAlignment="1">
      <alignment horizontal="center" vertical="center"/>
    </xf>
    <xf numFmtId="10" fontId="10" fillId="2" borderId="4" xfId="2" applyNumberFormat="1" applyFont="1" applyFill="1" applyBorder="1" applyAlignment="1">
      <alignment horizontal="center" vertical="center"/>
    </xf>
    <xf numFmtId="10" fontId="9" fillId="2" borderId="11" xfId="2" applyNumberFormat="1" applyFont="1" applyFill="1" applyBorder="1" applyAlignment="1">
      <alignment horizontal="center" vertical="center"/>
    </xf>
    <xf numFmtId="10" fontId="9" fillId="2" borderId="21" xfId="2" applyNumberFormat="1" applyFont="1" applyFill="1" applyBorder="1" applyAlignment="1">
      <alignment horizontal="center" vertical="center"/>
    </xf>
    <xf numFmtId="0" fontId="9" fillId="6" borderId="2" xfId="0" applyFont="1" applyFill="1" applyBorder="1"/>
    <xf numFmtId="0" fontId="9" fillId="6" borderId="5" xfId="0" applyFont="1" applyFill="1" applyBorder="1"/>
    <xf numFmtId="0" fontId="10" fillId="2" borderId="4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left"/>
    </xf>
    <xf numFmtId="0" fontId="3" fillId="6" borderId="1" xfId="0" applyFont="1" applyFill="1" applyBorder="1"/>
    <xf numFmtId="0" fontId="15" fillId="2" borderId="0" xfId="0" applyFont="1" applyFill="1" applyAlignment="1">
      <alignment horizontal="left" vertical="center" wrapText="1"/>
    </xf>
    <xf numFmtId="0" fontId="12" fillId="7" borderId="24" xfId="0" applyFont="1" applyFill="1" applyBorder="1" applyAlignment="1">
      <alignment horizontal="center" vertical="center" wrapText="1"/>
    </xf>
    <xf numFmtId="0" fontId="15" fillId="2" borderId="24" xfId="0" applyFont="1" applyFill="1" applyBorder="1" applyAlignment="1">
      <alignment horizontal="left" vertical="center" wrapText="1"/>
    </xf>
    <xf numFmtId="1" fontId="2" fillId="2" borderId="24" xfId="0" applyNumberFormat="1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165" fontId="2" fillId="2" borderId="24" xfId="0" applyNumberFormat="1" applyFont="1" applyFill="1" applyBorder="1" applyAlignment="1">
      <alignment horizontal="center" vertical="center" wrapText="1"/>
    </xf>
    <xf numFmtId="0" fontId="12" fillId="6" borderId="26" xfId="0" applyFont="1" applyFill="1" applyBorder="1" applyAlignment="1">
      <alignment horizontal="center" vertical="center" wrapText="1"/>
    </xf>
    <xf numFmtId="1" fontId="2" fillId="2" borderId="28" xfId="0" applyNumberFormat="1" applyFont="1" applyFill="1" applyBorder="1" applyAlignment="1">
      <alignment horizontal="center" vertical="center" wrapText="1"/>
    </xf>
    <xf numFmtId="0" fontId="13" fillId="3" borderId="24" xfId="0" applyFont="1" applyFill="1" applyBorder="1" applyAlignment="1">
      <alignment horizontal="center" vertical="center" wrapText="1"/>
    </xf>
    <xf numFmtId="0" fontId="15" fillId="2" borderId="29" xfId="0" applyFont="1" applyFill="1" applyBorder="1" applyAlignment="1">
      <alignment horizontal="left" vertical="center" wrapText="1"/>
    </xf>
    <xf numFmtId="0" fontId="15" fillId="2" borderId="30" xfId="0" applyFont="1" applyFill="1" applyBorder="1" applyAlignment="1">
      <alignment horizontal="left" vertical="center" wrapText="1"/>
    </xf>
    <xf numFmtId="4" fontId="2" fillId="2" borderId="28" xfId="0" applyNumberFormat="1" applyFont="1" applyFill="1" applyBorder="1" applyAlignment="1">
      <alignment horizontal="right" vertical="center" wrapText="1"/>
    </xf>
    <xf numFmtId="4" fontId="2" fillId="2" borderId="24" xfId="0" applyNumberFormat="1" applyFont="1" applyFill="1" applyBorder="1" applyAlignment="1">
      <alignment horizontal="right" vertical="center" wrapText="1"/>
    </xf>
    <xf numFmtId="0" fontId="13" fillId="2" borderId="0" xfId="0" applyFont="1" applyFill="1" applyAlignment="1">
      <alignment horizontal="left"/>
    </xf>
    <xf numFmtId="0" fontId="4" fillId="13" borderId="24" xfId="0" applyFont="1" applyFill="1" applyBorder="1" applyAlignment="1">
      <alignment horizontal="center"/>
    </xf>
    <xf numFmtId="0" fontId="3" fillId="2" borderId="24" xfId="0" applyFont="1" applyFill="1" applyBorder="1" applyAlignment="1">
      <alignment horizontal="left"/>
    </xf>
    <xf numFmtId="0" fontId="4" fillId="15" borderId="24" xfId="0" applyFont="1" applyFill="1" applyBorder="1" applyAlignment="1">
      <alignment horizontal="center"/>
    </xf>
    <xf numFmtId="0" fontId="4" fillId="10" borderId="24" xfId="0" applyFont="1" applyFill="1" applyBorder="1" applyAlignment="1">
      <alignment horizontal="center"/>
    </xf>
    <xf numFmtId="0" fontId="15" fillId="2" borderId="31" xfId="0" applyFont="1" applyFill="1" applyBorder="1" applyAlignment="1">
      <alignment horizontal="left" vertical="center" wrapText="1"/>
    </xf>
    <xf numFmtId="4" fontId="3" fillId="2" borderId="24" xfId="0" applyNumberFormat="1" applyFont="1" applyFill="1" applyBorder="1" applyAlignment="1">
      <alignment horizontal="center"/>
    </xf>
    <xf numFmtId="4" fontId="3" fillId="2" borderId="24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4" fontId="2" fillId="2" borderId="0" xfId="0" applyNumberFormat="1" applyFont="1" applyFill="1" applyAlignment="1">
      <alignment horizontal="right" vertical="center" wrapText="1"/>
    </xf>
    <xf numFmtId="1" fontId="2" fillId="2" borderId="0" xfId="0" applyNumberFormat="1" applyFont="1" applyFill="1" applyAlignment="1">
      <alignment horizontal="center" vertical="center" wrapText="1"/>
    </xf>
    <xf numFmtId="0" fontId="18" fillId="2" borderId="0" xfId="0" applyFont="1" applyFill="1" applyAlignment="1">
      <alignment horizontal="center"/>
    </xf>
    <xf numFmtId="2" fontId="2" fillId="2" borderId="24" xfId="0" applyNumberFormat="1" applyFont="1" applyFill="1" applyBorder="1" applyAlignment="1">
      <alignment horizontal="center" vertical="center" wrapText="1"/>
    </xf>
    <xf numFmtId="165" fontId="2" fillId="2" borderId="28" xfId="0" applyNumberFormat="1" applyFont="1" applyFill="1" applyBorder="1" applyAlignment="1">
      <alignment horizontal="center" vertical="center" wrapText="1"/>
    </xf>
    <xf numFmtId="0" fontId="2" fillId="2" borderId="28" xfId="0" applyFont="1" applyFill="1" applyBorder="1" applyAlignment="1">
      <alignment horizontal="center" vertical="center" wrapText="1"/>
    </xf>
    <xf numFmtId="4" fontId="11" fillId="2" borderId="0" xfId="0" applyNumberFormat="1" applyFont="1" applyFill="1"/>
    <xf numFmtId="0" fontId="2" fillId="2" borderId="24" xfId="0" applyFont="1" applyFill="1" applyBorder="1" applyAlignment="1">
      <alignment horizontal="left" vertical="center" wrapText="1"/>
    </xf>
    <xf numFmtId="0" fontId="12" fillId="4" borderId="24" xfId="0" applyFont="1" applyFill="1" applyBorder="1" applyAlignment="1">
      <alignment horizontal="center" vertical="center" wrapText="1"/>
    </xf>
    <xf numFmtId="164" fontId="2" fillId="2" borderId="24" xfId="0" applyNumberFormat="1" applyFont="1" applyFill="1" applyBorder="1" applyAlignment="1">
      <alignment horizontal="center" vertical="center" wrapText="1"/>
    </xf>
    <xf numFmtId="164" fontId="15" fillId="2" borderId="24" xfId="0" applyNumberFormat="1" applyFont="1" applyFill="1" applyBorder="1" applyAlignment="1">
      <alignment horizontal="center" vertical="center" wrapText="1"/>
    </xf>
    <xf numFmtId="0" fontId="12" fillId="14" borderId="24" xfId="0" applyFont="1" applyFill="1" applyBorder="1" applyAlignment="1">
      <alignment horizontal="center" vertical="center" wrapText="1"/>
    </xf>
    <xf numFmtId="0" fontId="12" fillId="11" borderId="24" xfId="0" applyFont="1" applyFill="1" applyBorder="1" applyAlignment="1">
      <alignment horizontal="center" vertical="center" wrapText="1"/>
    </xf>
    <xf numFmtId="166" fontId="2" fillId="2" borderId="24" xfId="0" applyNumberFormat="1" applyFont="1" applyFill="1" applyBorder="1" applyAlignment="1">
      <alignment horizontal="center" vertical="center" wrapText="1"/>
    </xf>
    <xf numFmtId="0" fontId="12" fillId="3" borderId="24" xfId="0" applyFont="1" applyFill="1" applyBorder="1" applyAlignment="1">
      <alignment horizontal="center" vertical="center" wrapText="1"/>
    </xf>
    <xf numFmtId="44" fontId="11" fillId="2" borderId="0" xfId="3" applyFont="1" applyFill="1"/>
    <xf numFmtId="0" fontId="4" fillId="3" borderId="15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4" fillId="7" borderId="15" xfId="0" applyFont="1" applyFill="1" applyBorder="1" applyAlignment="1">
      <alignment horizontal="center" vertical="center"/>
    </xf>
    <xf numFmtId="0" fontId="4" fillId="7" borderId="7" xfId="0" applyFont="1" applyFill="1" applyBorder="1" applyAlignment="1">
      <alignment horizontal="center" vertical="center"/>
    </xf>
    <xf numFmtId="0" fontId="4" fillId="3" borderId="15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  <xf numFmtId="0" fontId="6" fillId="8" borderId="17" xfId="0" applyFont="1" applyFill="1" applyBorder="1" applyAlignment="1">
      <alignment horizontal="center"/>
    </xf>
    <xf numFmtId="0" fontId="6" fillId="8" borderId="13" xfId="0" applyFont="1" applyFill="1" applyBorder="1" applyAlignment="1">
      <alignment horizontal="center"/>
    </xf>
    <xf numFmtId="0" fontId="6" fillId="8" borderId="18" xfId="0" applyFont="1" applyFill="1" applyBorder="1" applyAlignment="1">
      <alignment horizontal="center"/>
    </xf>
    <xf numFmtId="0" fontId="13" fillId="11" borderId="24" xfId="0" applyFont="1" applyFill="1" applyBorder="1" applyAlignment="1">
      <alignment horizontal="center"/>
    </xf>
    <xf numFmtId="0" fontId="12" fillId="11" borderId="24" xfId="0" applyFont="1" applyFill="1" applyBorder="1" applyAlignment="1">
      <alignment horizontal="center" vertical="center" wrapText="1"/>
    </xf>
    <xf numFmtId="0" fontId="13" fillId="3" borderId="24" xfId="0" applyFont="1" applyFill="1" applyBorder="1" applyAlignment="1">
      <alignment horizontal="center"/>
    </xf>
    <xf numFmtId="0" fontId="12" fillId="3" borderId="24" xfId="0" applyFont="1" applyFill="1" applyBorder="1" applyAlignment="1">
      <alignment horizontal="center" vertical="center" wrapText="1"/>
    </xf>
    <xf numFmtId="0" fontId="5" fillId="12" borderId="0" xfId="0" applyFont="1" applyFill="1" applyAlignment="1">
      <alignment horizontal="center"/>
    </xf>
    <xf numFmtId="0" fontId="12" fillId="4" borderId="24" xfId="0" applyFont="1" applyFill="1" applyBorder="1" applyAlignment="1">
      <alignment horizontal="center"/>
    </xf>
    <xf numFmtId="0" fontId="12" fillId="4" borderId="24" xfId="0" applyFont="1" applyFill="1" applyBorder="1" applyAlignment="1">
      <alignment horizontal="center" vertical="center" wrapText="1"/>
    </xf>
    <xf numFmtId="0" fontId="13" fillId="7" borderId="24" xfId="0" applyFont="1" applyFill="1" applyBorder="1" applyAlignment="1">
      <alignment horizontal="center"/>
    </xf>
    <xf numFmtId="0" fontId="12" fillId="6" borderId="24" xfId="0" applyFont="1" applyFill="1" applyBorder="1" applyAlignment="1">
      <alignment horizontal="center" vertical="center" wrapText="1"/>
    </xf>
    <xf numFmtId="0" fontId="12" fillId="7" borderId="24" xfId="0" applyFont="1" applyFill="1" applyBorder="1" applyAlignment="1">
      <alignment horizontal="center" vertical="center" wrapText="1"/>
    </xf>
    <xf numFmtId="0" fontId="13" fillId="14" borderId="24" xfId="0" applyFont="1" applyFill="1" applyBorder="1" applyAlignment="1">
      <alignment horizontal="center"/>
    </xf>
    <xf numFmtId="0" fontId="12" fillId="14" borderId="24" xfId="0" applyFont="1" applyFill="1" applyBorder="1" applyAlignment="1">
      <alignment horizontal="center" vertical="center" wrapText="1"/>
    </xf>
    <xf numFmtId="0" fontId="12" fillId="6" borderId="26" xfId="0" applyFont="1" applyFill="1" applyBorder="1" applyAlignment="1">
      <alignment horizontal="center" vertical="center" wrapText="1"/>
    </xf>
    <xf numFmtId="0" fontId="15" fillId="2" borderId="29" xfId="0" applyFont="1" applyFill="1" applyBorder="1" applyAlignment="1">
      <alignment horizontal="left" vertical="center" wrapText="1"/>
    </xf>
    <xf numFmtId="0" fontId="15" fillId="2" borderId="30" xfId="0" applyFont="1" applyFill="1" applyBorder="1" applyAlignment="1">
      <alignment horizontal="left" vertical="center" wrapText="1"/>
    </xf>
    <xf numFmtId="0" fontId="15" fillId="2" borderId="28" xfId="0" applyFont="1" applyFill="1" applyBorder="1" applyAlignment="1">
      <alignment horizontal="left" vertical="center" wrapText="1"/>
    </xf>
    <xf numFmtId="0" fontId="12" fillId="6" borderId="29" xfId="0" applyFont="1" applyFill="1" applyBorder="1" applyAlignment="1">
      <alignment horizontal="center" vertical="center" wrapText="1"/>
    </xf>
    <xf numFmtId="0" fontId="12" fillId="6" borderId="28" xfId="0" applyFont="1" applyFill="1" applyBorder="1" applyAlignment="1">
      <alignment horizontal="center" vertical="center" wrapText="1"/>
    </xf>
    <xf numFmtId="0" fontId="15" fillId="2" borderId="31" xfId="0" applyFont="1" applyFill="1" applyBorder="1" applyAlignment="1">
      <alignment horizontal="left" vertical="center" wrapText="1"/>
    </xf>
    <xf numFmtId="0" fontId="15" fillId="2" borderId="32" xfId="0" applyFont="1" applyFill="1" applyBorder="1" applyAlignment="1">
      <alignment horizontal="left" vertical="center" wrapText="1"/>
    </xf>
    <xf numFmtId="0" fontId="15" fillId="2" borderId="33" xfId="0" applyFont="1" applyFill="1" applyBorder="1" applyAlignment="1">
      <alignment horizontal="left" vertical="center" wrapText="1"/>
    </xf>
    <xf numFmtId="0" fontId="17" fillId="12" borderId="0" xfId="0" applyFont="1" applyFill="1" applyAlignment="1">
      <alignment horizontal="center"/>
    </xf>
    <xf numFmtId="0" fontId="13" fillId="9" borderId="24" xfId="0" applyFont="1" applyFill="1" applyBorder="1" applyAlignment="1">
      <alignment horizontal="center"/>
    </xf>
    <xf numFmtId="0" fontId="12" fillId="5" borderId="27" xfId="0" applyFont="1" applyFill="1" applyBorder="1" applyAlignment="1">
      <alignment horizontal="center" vertical="center" wrapText="1"/>
    </xf>
    <xf numFmtId="0" fontId="13" fillId="2" borderId="25" xfId="0" applyFont="1" applyFill="1" applyBorder="1" applyAlignment="1">
      <alignment horizontal="left"/>
    </xf>
    <xf numFmtId="0" fontId="13" fillId="2" borderId="0" xfId="0" applyFont="1" applyFill="1" applyAlignment="1">
      <alignment horizontal="left"/>
    </xf>
    <xf numFmtId="0" fontId="15" fillId="2" borderId="24" xfId="0" applyFont="1" applyFill="1" applyBorder="1" applyAlignment="1">
      <alignment horizontal="left" vertical="center" wrapText="1"/>
    </xf>
    <xf numFmtId="0" fontId="13" fillId="9" borderId="26" xfId="0" applyFont="1" applyFill="1" applyBorder="1" applyAlignment="1">
      <alignment horizontal="center"/>
    </xf>
    <xf numFmtId="0" fontId="13" fillId="9" borderId="34" xfId="0" applyFont="1" applyFill="1" applyBorder="1" applyAlignment="1">
      <alignment horizontal="center"/>
    </xf>
    <xf numFmtId="0" fontId="13" fillId="9" borderId="27" xfId="0" applyFont="1" applyFill="1" applyBorder="1" applyAlignment="1">
      <alignment horizontal="center"/>
    </xf>
    <xf numFmtId="0" fontId="12" fillId="5" borderId="31" xfId="0" applyFont="1" applyFill="1" applyBorder="1" applyAlignment="1">
      <alignment horizontal="center" vertical="center" wrapText="1"/>
    </xf>
    <xf numFmtId="0" fontId="12" fillId="5" borderId="33" xfId="0" applyFont="1" applyFill="1" applyBorder="1" applyAlignment="1">
      <alignment horizontal="center" vertical="center" wrapText="1"/>
    </xf>
    <xf numFmtId="0" fontId="12" fillId="5" borderId="24" xfId="0" applyFont="1" applyFill="1" applyBorder="1" applyAlignment="1">
      <alignment horizontal="center" vertical="center" wrapText="1"/>
    </xf>
    <xf numFmtId="0" fontId="4" fillId="10" borderId="24" xfId="0" applyFont="1" applyFill="1" applyBorder="1" applyAlignment="1">
      <alignment horizontal="center" vertical="center"/>
    </xf>
    <xf numFmtId="0" fontId="4" fillId="13" borderId="24" xfId="0" applyFont="1" applyFill="1" applyBorder="1" applyAlignment="1">
      <alignment horizontal="center" vertical="center"/>
    </xf>
    <xf numFmtId="0" fontId="5" fillId="12" borderId="1" xfId="0" applyFont="1" applyFill="1" applyBorder="1" applyAlignment="1">
      <alignment horizontal="center"/>
    </xf>
    <xf numFmtId="0" fontId="4" fillId="15" borderId="24" xfId="0" applyFont="1" applyFill="1" applyBorder="1" applyAlignment="1">
      <alignment horizontal="center" vertical="center"/>
    </xf>
    <xf numFmtId="0" fontId="16" fillId="12" borderId="0" xfId="0" applyFont="1" applyFill="1" applyAlignment="1">
      <alignment horizontal="center"/>
    </xf>
    <xf numFmtId="0" fontId="10" fillId="2" borderId="23" xfId="0" applyFont="1" applyFill="1" applyBorder="1" applyAlignment="1">
      <alignment horizontal="left"/>
    </xf>
    <xf numFmtId="0" fontId="10" fillId="2" borderId="13" xfId="0" applyFont="1" applyFill="1" applyBorder="1" applyAlignment="1">
      <alignment horizontal="left"/>
    </xf>
    <xf numFmtId="0" fontId="10" fillId="2" borderId="18" xfId="0" applyFont="1" applyFill="1" applyBorder="1" applyAlignment="1">
      <alignment horizontal="left"/>
    </xf>
    <xf numFmtId="0" fontId="10" fillId="2" borderId="22" xfId="0" applyFont="1" applyFill="1" applyBorder="1" applyAlignment="1">
      <alignment horizontal="left"/>
    </xf>
    <xf numFmtId="0" fontId="10" fillId="2" borderId="0" xfId="0" applyFont="1" applyFill="1" applyAlignment="1">
      <alignment horizontal="left"/>
    </xf>
    <xf numFmtId="0" fontId="10" fillId="2" borderId="4" xfId="0" applyFont="1" applyFill="1" applyBorder="1" applyAlignment="1">
      <alignment horizontal="left"/>
    </xf>
    <xf numFmtId="0" fontId="9" fillId="6" borderId="8" xfId="0" applyFont="1" applyFill="1" applyBorder="1" applyAlignment="1">
      <alignment horizontal="center"/>
    </xf>
    <xf numFmtId="0" fontId="9" fillId="6" borderId="16" xfId="0" applyFont="1" applyFill="1" applyBorder="1" applyAlignment="1">
      <alignment horizontal="center"/>
    </xf>
    <xf numFmtId="0" fontId="9" fillId="6" borderId="20" xfId="0" applyFont="1" applyFill="1" applyBorder="1" applyAlignment="1">
      <alignment horizontal="center"/>
    </xf>
    <xf numFmtId="0" fontId="9" fillId="7" borderId="15" xfId="0" applyFont="1" applyFill="1" applyBorder="1" applyAlignment="1">
      <alignment horizontal="center" vertical="center"/>
    </xf>
    <xf numFmtId="0" fontId="9" fillId="7" borderId="7" xfId="0" applyFont="1" applyFill="1" applyBorder="1" applyAlignment="1">
      <alignment horizontal="center" vertical="center"/>
    </xf>
    <xf numFmtId="0" fontId="9" fillId="7" borderId="16" xfId="0" applyFont="1" applyFill="1" applyBorder="1" applyAlignment="1">
      <alignment horizontal="center"/>
    </xf>
    <xf numFmtId="0" fontId="9" fillId="7" borderId="20" xfId="0" applyFont="1" applyFill="1" applyBorder="1" applyAlignment="1">
      <alignment horizontal="center"/>
    </xf>
    <xf numFmtId="0" fontId="10" fillId="6" borderId="0" xfId="0" applyFont="1" applyFill="1" applyAlignment="1">
      <alignment horizontal="left"/>
    </xf>
    <xf numFmtId="0" fontId="6" fillId="12" borderId="0" xfId="0" applyFont="1" applyFill="1" applyAlignment="1">
      <alignment horizontal="center"/>
    </xf>
    <xf numFmtId="0" fontId="9" fillId="7" borderId="12" xfId="0" applyFont="1" applyFill="1" applyBorder="1" applyAlignment="1">
      <alignment horizontal="center" vertical="center"/>
    </xf>
    <xf numFmtId="0" fontId="9" fillId="7" borderId="14" xfId="0" applyFont="1" applyFill="1" applyBorder="1" applyAlignment="1">
      <alignment horizontal="center" vertical="center"/>
    </xf>
    <xf numFmtId="0" fontId="9" fillId="6" borderId="0" xfId="0" applyFont="1" applyFill="1" applyAlignment="1">
      <alignment horizontal="center"/>
    </xf>
    <xf numFmtId="44" fontId="10" fillId="0" borderId="0" xfId="0" applyNumberFormat="1" applyFont="1" applyFill="1"/>
    <xf numFmtId="44" fontId="3" fillId="0" borderId="0" xfId="0" applyNumberFormat="1" applyFont="1" applyFill="1" applyAlignment="1">
      <alignment horizontal="right"/>
    </xf>
    <xf numFmtId="44" fontId="3" fillId="0" borderId="14" xfId="0" applyNumberFormat="1" applyFont="1" applyFill="1" applyBorder="1" applyAlignment="1">
      <alignment horizontal="right"/>
    </xf>
  </cellXfs>
  <cellStyles count="4">
    <cellStyle name="Moeda" xfId="3" builtinId="4"/>
    <cellStyle name="Normal" xfId="0" builtinId="0"/>
    <cellStyle name="Porcentagem" xfId="2" builtinId="5"/>
    <cellStyle name="Vírgula" xfId="1" builtinId="3"/>
  </cellStyles>
  <dxfs count="0"/>
  <tableStyles count="0" defaultTableStyle="TableStyleMedium2" defaultPivotStyle="PivotStyleLight16"/>
  <colors>
    <mruColors>
      <color rgb="FF808000"/>
      <color rgb="FF996633"/>
      <color rgb="FFCC9900"/>
      <color rgb="FFFFFF99"/>
      <color rgb="FFFFFF69"/>
      <color rgb="FFFFFF4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259293</xdr:colOff>
      <xdr:row>22</xdr:row>
      <xdr:rowOff>123622</xdr:rowOff>
    </xdr:from>
    <xdr:to>
      <xdr:col>16</xdr:col>
      <xdr:colOff>261939</xdr:colOff>
      <xdr:row>30</xdr:row>
      <xdr:rowOff>98845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A2E39FB8-E22E-43B0-95E2-42844907CA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64856" y="3266872"/>
          <a:ext cx="4574646" cy="1118223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16</xdr:row>
      <xdr:rowOff>66675</xdr:rowOff>
    </xdr:from>
    <xdr:to>
      <xdr:col>5</xdr:col>
      <xdr:colOff>725386</xdr:colOff>
      <xdr:row>26</xdr:row>
      <xdr:rowOff>1560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4B1E92C5-4A4C-4855-8B25-AC0CE08337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2875" y="2571750"/>
          <a:ext cx="5973661" cy="1458885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295275</xdr:colOff>
      <xdr:row>17</xdr:row>
      <xdr:rowOff>133350</xdr:rowOff>
    </xdr:from>
    <xdr:to>
      <xdr:col>5</xdr:col>
      <xdr:colOff>820636</xdr:colOff>
      <xdr:row>27</xdr:row>
      <xdr:rowOff>68235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166BBF91-E17B-4D54-A8DE-C8A0BE7AEC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95275" y="2790825"/>
          <a:ext cx="5973661" cy="1458885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18</xdr:row>
      <xdr:rowOff>9525</xdr:rowOff>
    </xdr:from>
    <xdr:to>
      <xdr:col>5</xdr:col>
      <xdr:colOff>753961</xdr:colOff>
      <xdr:row>27</xdr:row>
      <xdr:rowOff>96810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240C05DD-F1E0-40DC-90E3-5A7C734191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1450" y="2819400"/>
          <a:ext cx="5973661" cy="1458885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17</xdr:row>
      <xdr:rowOff>38100</xdr:rowOff>
    </xdr:from>
    <xdr:to>
      <xdr:col>5</xdr:col>
      <xdr:colOff>811111</xdr:colOff>
      <xdr:row>26</xdr:row>
      <xdr:rowOff>125385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BED8E64F-E41C-4C18-8F4A-C3FC471D6E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8600" y="2695575"/>
          <a:ext cx="5973661" cy="1458885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752475</xdr:colOff>
      <xdr:row>16</xdr:row>
      <xdr:rowOff>85725</xdr:rowOff>
    </xdr:from>
    <xdr:to>
      <xdr:col>6</xdr:col>
      <xdr:colOff>191986</xdr:colOff>
      <xdr:row>26</xdr:row>
      <xdr:rowOff>20610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D91EF7D-D0B5-4F96-B62B-79AF15FDE9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52475" y="2590800"/>
          <a:ext cx="5973661" cy="145888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314854</xdr:colOff>
      <xdr:row>13</xdr:row>
      <xdr:rowOff>131560</xdr:rowOff>
    </xdr:from>
    <xdr:to>
      <xdr:col>17</xdr:col>
      <xdr:colOff>0</xdr:colOff>
      <xdr:row>21</xdr:row>
      <xdr:rowOff>106783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3F7B0251-F3FB-4E32-94CC-A9B0499C5E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656792" y="2179435"/>
          <a:ext cx="4574646" cy="111822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275167</xdr:colOff>
      <xdr:row>18</xdr:row>
      <xdr:rowOff>123622</xdr:rowOff>
    </xdr:from>
    <xdr:to>
      <xdr:col>16</xdr:col>
      <xdr:colOff>460375</xdr:colOff>
      <xdr:row>26</xdr:row>
      <xdr:rowOff>98845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CCD77271-71D4-482D-9D04-7BFB370FFC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085542" y="2600122"/>
          <a:ext cx="4574646" cy="111822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600604</xdr:colOff>
      <xdr:row>3</xdr:row>
      <xdr:rowOff>4560</xdr:rowOff>
    </xdr:from>
    <xdr:to>
      <xdr:col>17</xdr:col>
      <xdr:colOff>285750</xdr:colOff>
      <xdr:row>10</xdr:row>
      <xdr:rowOff>75033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56E467E3-9888-4682-B44B-B69E8F166B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942542" y="433185"/>
          <a:ext cx="4574646" cy="1118223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140229</xdr:colOff>
      <xdr:row>21</xdr:row>
      <xdr:rowOff>139498</xdr:rowOff>
    </xdr:from>
    <xdr:to>
      <xdr:col>15</xdr:col>
      <xdr:colOff>158750</xdr:colOff>
      <xdr:row>29</xdr:row>
      <xdr:rowOff>114721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FF246380-D8A0-4351-94E4-7D63569ECA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50604" y="3187498"/>
          <a:ext cx="4574646" cy="1118223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16</xdr:row>
      <xdr:rowOff>93690</xdr:rowOff>
    </xdr:from>
    <xdr:to>
      <xdr:col>5</xdr:col>
      <xdr:colOff>715861</xdr:colOff>
      <xdr:row>26</xdr:row>
      <xdr:rowOff>28575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995BA85E-2F41-56DE-8FB3-824EDE386A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3350" y="2598765"/>
          <a:ext cx="5973661" cy="1458885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18</xdr:row>
      <xdr:rowOff>0</xdr:rowOff>
    </xdr:from>
    <xdr:to>
      <xdr:col>4</xdr:col>
      <xdr:colOff>649186</xdr:colOff>
      <xdr:row>27</xdr:row>
      <xdr:rowOff>87285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5BDC0CC7-BDC0-4DC2-A5D3-A75EC35D16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2809875"/>
          <a:ext cx="5973661" cy="145888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352425</xdr:colOff>
      <xdr:row>15</xdr:row>
      <xdr:rowOff>114300</xdr:rowOff>
    </xdr:from>
    <xdr:to>
      <xdr:col>5</xdr:col>
      <xdr:colOff>877786</xdr:colOff>
      <xdr:row>25</xdr:row>
      <xdr:rowOff>49185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430EBC09-19B7-4C50-9432-B4FF475716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52425" y="2466975"/>
          <a:ext cx="5973661" cy="1458885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19</xdr:row>
      <xdr:rowOff>123825</xdr:rowOff>
    </xdr:from>
    <xdr:to>
      <xdr:col>5</xdr:col>
      <xdr:colOff>839686</xdr:colOff>
      <xdr:row>29</xdr:row>
      <xdr:rowOff>58710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7B4E9794-6844-4C55-92BB-C27C6FE5F5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57175" y="3086100"/>
          <a:ext cx="5973661" cy="14588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drawing" Target="../drawings/drawing6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drawing" Target="../drawings/drawing7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drawing" Target="../drawings/drawing8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drawing" Target="../drawings/drawing9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drawing" Target="../drawings/drawing10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drawing" Target="../drawings/drawing11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drawing" Target="../drawings/drawing12.xm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drawing" Target="../drawings/drawing13.xm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4.xml"/><Relationship Id="rId2" Type="http://schemas.openxmlformats.org/officeDocument/2006/relationships/vmlDrawing" Target="../drawings/vmlDrawing14.vml"/><Relationship Id="rId1" Type="http://schemas.openxmlformats.org/officeDocument/2006/relationships/drawing" Target="../drawings/drawing14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BDB131-1BE9-4A20-83EB-758D6C49BDB3}">
  <dimension ref="A1:I26"/>
  <sheetViews>
    <sheetView topLeftCell="A10" workbookViewId="0">
      <selection activeCell="B26" sqref="B26"/>
    </sheetView>
  </sheetViews>
  <sheetFormatPr defaultColWidth="9.125" defaultRowHeight="12.75"/>
  <cols>
    <col min="1" max="1" width="20.875" style="1" bestFit="1" customWidth="1"/>
    <col min="2" max="2" width="20.25" style="1" bestFit="1" customWidth="1"/>
    <col min="3" max="3" width="19.25" style="1" customWidth="1"/>
    <col min="4" max="4" width="23.375" style="1" bestFit="1" customWidth="1"/>
    <col min="5" max="5" width="21.75" style="1" bestFit="1" customWidth="1"/>
    <col min="6" max="6" width="19.625" style="1" bestFit="1" customWidth="1"/>
    <col min="7" max="7" width="9.125" style="1"/>
    <col min="8" max="8" width="20.125" style="1" bestFit="1" customWidth="1"/>
    <col min="9" max="9" width="16.75" style="1" bestFit="1" customWidth="1"/>
    <col min="10" max="16384" width="9.125" style="1"/>
  </cols>
  <sheetData>
    <row r="1" spans="1:9" ht="15.75">
      <c r="A1" s="103" t="s">
        <v>32</v>
      </c>
      <c r="B1" s="104"/>
      <c r="C1" s="104"/>
      <c r="D1" s="104"/>
      <c r="E1" s="104"/>
      <c r="F1" s="104"/>
      <c r="G1" s="104"/>
      <c r="H1" s="104"/>
      <c r="I1" s="105"/>
    </row>
    <row r="2" spans="1:9">
      <c r="A2" s="3"/>
      <c r="I2" s="4"/>
    </row>
    <row r="3" spans="1:9">
      <c r="A3" s="5" t="s">
        <v>18</v>
      </c>
      <c r="I3" s="4"/>
    </row>
    <row r="4" spans="1:9">
      <c r="A4" s="97" t="s">
        <v>0</v>
      </c>
      <c r="B4" s="15" t="s">
        <v>1</v>
      </c>
      <c r="C4" s="15" t="s">
        <v>2</v>
      </c>
      <c r="D4" s="15" t="s">
        <v>3</v>
      </c>
      <c r="E4" s="15" t="s">
        <v>4</v>
      </c>
      <c r="F4" s="15" t="s">
        <v>5</v>
      </c>
      <c r="I4" s="4"/>
    </row>
    <row r="5" spans="1:9" ht="70.5" customHeight="1">
      <c r="A5" s="98"/>
      <c r="B5" s="16" t="s">
        <v>6</v>
      </c>
      <c r="C5" s="16" t="s">
        <v>7</v>
      </c>
      <c r="D5" s="16" t="s">
        <v>8</v>
      </c>
      <c r="E5" s="16" t="s">
        <v>9</v>
      </c>
      <c r="F5" s="16" t="s">
        <v>10</v>
      </c>
      <c r="I5" s="4"/>
    </row>
    <row r="6" spans="1:9">
      <c r="A6" s="25" t="s">
        <v>11</v>
      </c>
      <c r="B6" s="163">
        <v>1485358.62</v>
      </c>
      <c r="C6" s="12">
        <v>9000</v>
      </c>
      <c r="D6" s="12">
        <v>339637000</v>
      </c>
      <c r="E6" s="12">
        <v>13339000</v>
      </c>
      <c r="F6" s="13">
        <v>0</v>
      </c>
      <c r="I6" s="4"/>
    </row>
    <row r="7" spans="1:9">
      <c r="A7" s="25" t="s">
        <v>12</v>
      </c>
      <c r="B7" s="163">
        <v>14322827.08</v>
      </c>
      <c r="C7" s="12">
        <v>0</v>
      </c>
      <c r="D7" s="12">
        <v>1173402000</v>
      </c>
      <c r="E7" s="12">
        <v>13479000</v>
      </c>
      <c r="F7" s="13">
        <v>0</v>
      </c>
      <c r="I7" s="4"/>
    </row>
    <row r="8" spans="1:9">
      <c r="A8" s="25" t="s">
        <v>13</v>
      </c>
      <c r="B8" s="163">
        <v>0</v>
      </c>
      <c r="C8" s="12">
        <v>12000</v>
      </c>
      <c r="D8" s="12">
        <v>15761000</v>
      </c>
      <c r="E8" s="12">
        <v>21308000</v>
      </c>
      <c r="F8" s="13">
        <v>0</v>
      </c>
      <c r="H8" s="23">
        <v>2683571000</v>
      </c>
      <c r="I8" s="26" t="s">
        <v>19</v>
      </c>
    </row>
    <row r="9" spans="1:9">
      <c r="A9" s="25" t="s">
        <v>14</v>
      </c>
      <c r="B9" s="163">
        <v>81249952.609999999</v>
      </c>
      <c r="C9" s="12">
        <v>85000</v>
      </c>
      <c r="D9" s="12">
        <v>5538025000</v>
      </c>
      <c r="E9" s="12">
        <v>75525000</v>
      </c>
      <c r="F9" s="13">
        <f>H9+H8</f>
        <v>2766167000</v>
      </c>
      <c r="H9" s="24">
        <v>82596000</v>
      </c>
      <c r="I9" s="26" t="s">
        <v>20</v>
      </c>
    </row>
    <row r="10" spans="1:9">
      <c r="A10" s="25" t="s">
        <v>15</v>
      </c>
      <c r="B10" s="163">
        <v>2218025.38</v>
      </c>
      <c r="C10" s="12">
        <v>991000</v>
      </c>
      <c r="D10" s="12">
        <v>768817000</v>
      </c>
      <c r="E10" s="12">
        <v>130267000</v>
      </c>
      <c r="F10" s="13">
        <v>0</v>
      </c>
      <c r="I10" s="4"/>
    </row>
    <row r="11" spans="1:9">
      <c r="A11" s="27" t="s">
        <v>16</v>
      </c>
      <c r="B11" s="164">
        <v>47117751.399999999</v>
      </c>
      <c r="C11" s="18">
        <v>0</v>
      </c>
      <c r="D11" s="18">
        <v>4259841000</v>
      </c>
      <c r="E11" s="18">
        <v>14234000</v>
      </c>
      <c r="F11" s="19">
        <v>0</v>
      </c>
      <c r="I11" s="4"/>
    </row>
    <row r="12" spans="1:9">
      <c r="A12" s="3"/>
      <c r="I12" s="4"/>
    </row>
    <row r="13" spans="1:9">
      <c r="A13" s="5" t="s">
        <v>21</v>
      </c>
      <c r="I13" s="4"/>
    </row>
    <row r="14" spans="1:9">
      <c r="A14" s="99" t="s">
        <v>22</v>
      </c>
      <c r="B14" s="15" t="s">
        <v>23</v>
      </c>
      <c r="C14" s="15" t="s">
        <v>24</v>
      </c>
      <c r="D14" s="15" t="s">
        <v>25</v>
      </c>
      <c r="E14" s="15" t="s">
        <v>25</v>
      </c>
      <c r="F14" s="15" t="s">
        <v>23</v>
      </c>
      <c r="I14" s="4"/>
    </row>
    <row r="15" spans="1:9">
      <c r="A15" s="100"/>
      <c r="B15" s="20">
        <v>4.6199999999999998E-2</v>
      </c>
      <c r="C15" s="20">
        <v>0.37785111859357501</v>
      </c>
      <c r="D15" s="20">
        <v>0.10677498000000001</v>
      </c>
      <c r="E15" s="20">
        <v>0.10677498000000001</v>
      </c>
      <c r="F15" s="20">
        <v>4.6199999999999998E-2</v>
      </c>
      <c r="I15" s="4"/>
    </row>
    <row r="16" spans="1:9">
      <c r="A16" s="3"/>
      <c r="I16" s="4"/>
    </row>
    <row r="17" spans="1:9">
      <c r="A17" s="5" t="s">
        <v>33</v>
      </c>
      <c r="I17" s="4"/>
    </row>
    <row r="18" spans="1:9">
      <c r="A18" s="101" t="s">
        <v>26</v>
      </c>
      <c r="B18" s="17" t="s">
        <v>1</v>
      </c>
      <c r="C18" s="17" t="s">
        <v>2</v>
      </c>
      <c r="D18" s="17" t="s">
        <v>3</v>
      </c>
      <c r="E18" s="17" t="s">
        <v>4</v>
      </c>
      <c r="F18" s="17" t="s">
        <v>5</v>
      </c>
      <c r="I18" s="4"/>
    </row>
    <row r="19" spans="1:9" ht="75.75" customHeight="1">
      <c r="A19" s="102"/>
      <c r="B19" s="21" t="s">
        <v>27</v>
      </c>
      <c r="C19" s="21" t="s">
        <v>28</v>
      </c>
      <c r="D19" s="21" t="s">
        <v>29</v>
      </c>
      <c r="E19" s="21" t="s">
        <v>30</v>
      </c>
      <c r="F19" s="21" t="s">
        <v>31</v>
      </c>
      <c r="I19" s="4"/>
    </row>
    <row r="20" spans="1:9">
      <c r="A20" s="3" t="s">
        <v>11</v>
      </c>
      <c r="B20" s="14">
        <f>(B$15+1)*B6</f>
        <v>1553982.1882440001</v>
      </c>
      <c r="C20" s="14">
        <f t="shared" ref="B20:F25" si="0">(C$15+1)*C6</f>
        <v>12400.660067342176</v>
      </c>
      <c r="D20" s="14">
        <f t="shared" si="0"/>
        <v>375901733.88225996</v>
      </c>
      <c r="E20" s="14">
        <f t="shared" si="0"/>
        <v>14763271.458219999</v>
      </c>
      <c r="F20" s="14">
        <f t="shared" si="0"/>
        <v>0</v>
      </c>
      <c r="I20" s="4"/>
    </row>
    <row r="21" spans="1:9">
      <c r="A21" s="3" t="s">
        <v>12</v>
      </c>
      <c r="B21" s="14">
        <f t="shared" si="0"/>
        <v>14984541.691096</v>
      </c>
      <c r="C21" s="14">
        <f t="shared" si="0"/>
        <v>0</v>
      </c>
      <c r="D21" s="14">
        <f t="shared" si="0"/>
        <v>1298691975.08196</v>
      </c>
      <c r="E21" s="14">
        <f t="shared" si="0"/>
        <v>14918219.955419999</v>
      </c>
      <c r="F21" s="14">
        <f t="shared" si="0"/>
        <v>0</v>
      </c>
      <c r="I21" s="4"/>
    </row>
    <row r="22" spans="1:9">
      <c r="A22" s="3" t="s">
        <v>13</v>
      </c>
      <c r="B22" s="14">
        <f t="shared" si="0"/>
        <v>0</v>
      </c>
      <c r="C22" s="14">
        <f t="shared" si="0"/>
        <v>16534.213423122903</v>
      </c>
      <c r="D22" s="14">
        <f t="shared" si="0"/>
        <v>17443880.45978</v>
      </c>
      <c r="E22" s="14">
        <f t="shared" si="0"/>
        <v>23583161.273839999</v>
      </c>
      <c r="F22" s="14">
        <f t="shared" si="0"/>
        <v>0</v>
      </c>
      <c r="I22" s="4"/>
    </row>
    <row r="23" spans="1:9">
      <c r="A23" s="3" t="s">
        <v>14</v>
      </c>
      <c r="B23" s="14">
        <f t="shared" si="0"/>
        <v>85003700.420581996</v>
      </c>
      <c r="C23" s="14">
        <f t="shared" si="0"/>
        <v>117117.34508045389</v>
      </c>
      <c r="D23" s="14">
        <f t="shared" si="0"/>
        <v>6129347508.6145</v>
      </c>
      <c r="E23" s="14">
        <f t="shared" si="0"/>
        <v>83589180.364500001</v>
      </c>
      <c r="F23" s="14">
        <f t="shared" si="0"/>
        <v>2893963915.4000001</v>
      </c>
      <c r="I23" s="4"/>
    </row>
    <row r="24" spans="1:9">
      <c r="A24" s="3" t="s">
        <v>15</v>
      </c>
      <c r="B24" s="14">
        <v>2218025.38</v>
      </c>
      <c r="C24" s="14">
        <f t="shared" si="0"/>
        <v>1365450.458526233</v>
      </c>
      <c r="D24" s="14">
        <f t="shared" si="0"/>
        <v>850907419.79865992</v>
      </c>
      <c r="E24" s="14">
        <f t="shared" si="0"/>
        <v>144176256.31966001</v>
      </c>
      <c r="F24" s="14">
        <f t="shared" si="0"/>
        <v>0</v>
      </c>
      <c r="I24" s="4"/>
    </row>
    <row r="25" spans="1:9">
      <c r="A25" s="28" t="s">
        <v>16</v>
      </c>
      <c r="B25" s="22">
        <f t="shared" si="0"/>
        <v>49294591.514679998</v>
      </c>
      <c r="C25" s="22">
        <f t="shared" si="0"/>
        <v>0</v>
      </c>
      <c r="D25" s="22">
        <f t="shared" si="0"/>
        <v>4714685437.5781803</v>
      </c>
      <c r="E25" s="22">
        <f t="shared" si="0"/>
        <v>15753835.06532</v>
      </c>
      <c r="F25" s="22">
        <f t="shared" si="0"/>
        <v>0</v>
      </c>
      <c r="I25" s="4"/>
    </row>
    <row r="26" spans="1:9" ht="13.5" thickBot="1">
      <c r="A26" s="29" t="s">
        <v>17</v>
      </c>
      <c r="B26" s="30">
        <f>SUM(B20:B25)</f>
        <v>153054841.19460198</v>
      </c>
      <c r="C26" s="30">
        <f t="shared" ref="C26:F26" si="1">SUM(C20:C25)</f>
        <v>1511502.677097152</v>
      </c>
      <c r="D26" s="30">
        <f t="shared" si="1"/>
        <v>13386977955.41534</v>
      </c>
      <c r="E26" s="30">
        <f t="shared" si="1"/>
        <v>296783924.43696004</v>
      </c>
      <c r="F26" s="30">
        <f t="shared" si="1"/>
        <v>2893963915.4000001</v>
      </c>
      <c r="G26" s="6"/>
      <c r="H26" s="6"/>
      <c r="I26" s="31"/>
    </row>
  </sheetData>
  <mergeCells count="4">
    <mergeCell ref="A4:A5"/>
    <mergeCell ref="A14:A15"/>
    <mergeCell ref="A18:A19"/>
    <mergeCell ref="A1:I1"/>
  </mergeCells>
  <pageMargins left="0.511811024" right="0.511811024" top="0.78740157499999996" bottom="0.78740157499999996" header="0.31496062000000002" footer="0.3149606200000000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A97374-69B3-448F-862E-9B5937713FCD}">
  <dimension ref="A1:M15"/>
  <sheetViews>
    <sheetView workbookViewId="0">
      <selection activeCell="E9" sqref="E9"/>
    </sheetView>
  </sheetViews>
  <sheetFormatPr defaultColWidth="9.125" defaultRowHeight="12"/>
  <cols>
    <col min="1" max="1" width="19.75" style="8" bestFit="1" customWidth="1"/>
    <col min="2" max="6" width="15.25" style="8" bestFit="1" customWidth="1"/>
    <col min="7" max="7" width="9.375" style="8" bestFit="1" customWidth="1"/>
    <col min="8" max="8" width="18" style="8" customWidth="1"/>
    <col min="9" max="9" width="22.125" style="42" bestFit="1" customWidth="1"/>
    <col min="10" max="10" width="23.125" style="42" bestFit="1" customWidth="1"/>
    <col min="11" max="12" width="9.125" style="8"/>
    <col min="13" max="13" width="13.625" style="8" bestFit="1" customWidth="1"/>
    <col min="14" max="16384" width="9.125" style="8"/>
  </cols>
  <sheetData>
    <row r="1" spans="1:13" ht="15.75">
      <c r="A1" s="158" t="s">
        <v>87</v>
      </c>
      <c r="B1" s="158"/>
      <c r="C1" s="158"/>
      <c r="D1" s="158"/>
      <c r="E1" s="158"/>
      <c r="F1" s="158"/>
      <c r="G1" s="158"/>
      <c r="H1" s="158"/>
      <c r="I1" s="158"/>
      <c r="J1" s="158"/>
      <c r="K1" s="158"/>
      <c r="L1" s="158"/>
      <c r="M1" s="158"/>
    </row>
    <row r="2" spans="1:13">
      <c r="A2" s="38" t="s">
        <v>34</v>
      </c>
      <c r="B2" s="157" t="s">
        <v>100</v>
      </c>
      <c r="C2" s="157"/>
      <c r="D2" s="157"/>
      <c r="E2" s="157"/>
      <c r="F2" s="157"/>
      <c r="G2" s="157"/>
      <c r="H2" s="157"/>
      <c r="I2" s="157"/>
      <c r="J2" s="39"/>
    </row>
    <row r="3" spans="1:13">
      <c r="A3" s="38" t="s">
        <v>35</v>
      </c>
      <c r="B3" s="40" t="s">
        <v>69</v>
      </c>
      <c r="C3" s="40"/>
      <c r="D3" s="40"/>
      <c r="E3" s="40"/>
      <c r="F3" s="40"/>
      <c r="G3" s="40"/>
      <c r="H3" s="40"/>
      <c r="I3" s="39"/>
      <c r="J3" s="39"/>
    </row>
    <row r="4" spans="1:13">
      <c r="A4" s="38" t="s">
        <v>99</v>
      </c>
      <c r="B4" s="40" t="s">
        <v>63</v>
      </c>
      <c r="C4" s="44">
        <f>IF(B4='Base Cenários'!I2,'Base Cenários'!J2,(IF('Cenário A.1.1'!B4='Base Cenários'!I3,'Base Cenários'!J3,'Base Cenários'!J4)))</f>
        <v>6.5949999999999995E-2</v>
      </c>
      <c r="D4" s="40" t="s">
        <v>43</v>
      </c>
      <c r="E4" s="40"/>
      <c r="F4" s="40"/>
      <c r="G4" s="40"/>
      <c r="H4" s="40"/>
      <c r="I4" s="39"/>
      <c r="J4" s="39"/>
    </row>
    <row r="5" spans="1:13" ht="12.75" thickBot="1">
      <c r="A5" s="10"/>
      <c r="B5" s="10"/>
      <c r="C5" s="10"/>
      <c r="D5" s="10"/>
      <c r="E5" s="10"/>
      <c r="F5" s="10"/>
      <c r="H5" s="10"/>
      <c r="I5" s="41"/>
      <c r="J5" s="41"/>
      <c r="K5" s="10"/>
      <c r="L5" s="10"/>
      <c r="M5" s="10"/>
    </row>
    <row r="6" spans="1:13">
      <c r="A6" s="161" t="s">
        <v>48</v>
      </c>
      <c r="B6" s="161"/>
      <c r="C6" s="161"/>
      <c r="D6" s="161"/>
      <c r="E6" s="161"/>
      <c r="F6" s="161"/>
      <c r="H6" s="161" t="s">
        <v>49</v>
      </c>
      <c r="I6" s="161"/>
      <c r="J6" s="161"/>
      <c r="K6" s="161"/>
      <c r="L6" s="161"/>
      <c r="M6" s="161"/>
    </row>
    <row r="7" spans="1:13" s="11" customFormat="1">
      <c r="A7" s="159" t="s">
        <v>47</v>
      </c>
      <c r="B7" s="35" t="s">
        <v>1</v>
      </c>
      <c r="C7" s="35" t="s">
        <v>2</v>
      </c>
      <c r="D7" s="35" t="s">
        <v>3</v>
      </c>
      <c r="E7" s="35" t="s">
        <v>4</v>
      </c>
      <c r="F7" s="35" t="s">
        <v>5</v>
      </c>
      <c r="H7" s="159" t="s">
        <v>47</v>
      </c>
      <c r="I7" s="35" t="s">
        <v>1</v>
      </c>
      <c r="J7" s="35" t="s">
        <v>2</v>
      </c>
      <c r="K7" s="35" t="s">
        <v>3</v>
      </c>
      <c r="L7" s="35" t="s">
        <v>4</v>
      </c>
      <c r="M7" s="35" t="s">
        <v>5</v>
      </c>
    </row>
    <row r="8" spans="1:13">
      <c r="A8" s="160"/>
      <c r="B8" s="155" t="s">
        <v>42</v>
      </c>
      <c r="C8" s="155"/>
      <c r="D8" s="155"/>
      <c r="E8" s="155"/>
      <c r="F8" s="155"/>
      <c r="H8" s="160"/>
      <c r="I8" s="155" t="s">
        <v>50</v>
      </c>
      <c r="J8" s="155"/>
      <c r="K8" s="155"/>
      <c r="L8" s="155"/>
      <c r="M8" s="155"/>
    </row>
    <row r="9" spans="1:13">
      <c r="A9" s="8" t="s">
        <v>11</v>
      </c>
      <c r="B9" s="9">
        <f>(IF($B$3='Base Cenários'!$A$3,'Base Cenários'!B7,(IF($B$3='Base Cenários'!$A$14,'Base Cenários'!B18,'Base Cenários'!B29))))*$C$4</f>
        <v>0</v>
      </c>
      <c r="C9" s="9">
        <f>(IF($B$3='Base Cenários'!$A$3,'Base Cenários'!C7,(IF($B$3='Base Cenários'!$A$14,'Base Cenários'!C18,'Base Cenários'!C29))))*$C$4</f>
        <v>0</v>
      </c>
      <c r="D9" s="9">
        <f>(IF($B$3='Base Cenários'!$A$3,'Base Cenários'!D7,(IF($B$3='Base Cenários'!$A$14,'Base Cenários'!D18,'Base Cenários'!D29))))*$C$4</f>
        <v>0</v>
      </c>
      <c r="E9" s="9">
        <f>(IF($B$3='Base Cenários'!$A$3,'Base Cenários'!E7,(IF($B$3='Base Cenários'!$A$14,'Base Cenários'!E18,'Base Cenários'!E29))))*$C$4</f>
        <v>0</v>
      </c>
      <c r="F9" s="9">
        <f>(IF($B$3='Base Cenários'!$A$3,'Base Cenários'!F7,(IF($B$3='Base Cenários'!$A$14,'Base Cenários'!F18,'Base Cenários'!F29))))*$C$4</f>
        <v>0</v>
      </c>
      <c r="H9" s="8" t="s">
        <v>11</v>
      </c>
      <c r="I9" s="45">
        <f>IF(Renda!B20&gt;0,B9/Renda!B20,0)</f>
        <v>0</v>
      </c>
      <c r="J9" s="45">
        <f>IF(Renda!C20&gt;0,C9/Renda!C20,0)</f>
        <v>0</v>
      </c>
      <c r="K9" s="45">
        <f>IF(Renda!D20&gt;0,D9/Renda!D20,0)</f>
        <v>0</v>
      </c>
      <c r="L9" s="45">
        <f>IF(Renda!E20&gt;0,E9/Renda!E20,0)</f>
        <v>0</v>
      </c>
      <c r="M9" s="45">
        <f>IF(Renda!F20&gt;0,F9/Renda!F20,0)</f>
        <v>0</v>
      </c>
    </row>
    <row r="10" spans="1:13">
      <c r="A10" s="8" t="s">
        <v>12</v>
      </c>
      <c r="B10" s="9">
        <f>(IF($B$3='Base Cenários'!$A$3,'Base Cenários'!B8,(IF($B$3='Base Cenários'!$A$14,'Base Cenários'!B19,'Base Cenários'!B30))))*$C$4</f>
        <v>0</v>
      </c>
      <c r="C10" s="9">
        <f>(IF($B$3='Base Cenários'!$A$3,'Base Cenários'!C8,(IF($B$3='Base Cenários'!$A$14,'Base Cenários'!C19,'Base Cenários'!C30))))*$C$4</f>
        <v>0</v>
      </c>
      <c r="D10" s="9">
        <f>(IF($B$3='Base Cenários'!$A$3,'Base Cenários'!D8,(IF($B$3='Base Cenários'!$A$14,'Base Cenários'!D19,'Base Cenários'!D30))))*$C$4</f>
        <v>0</v>
      </c>
      <c r="E10" s="9">
        <f>(IF($B$3='Base Cenários'!$A$3,'Base Cenários'!E8,(IF($B$3='Base Cenários'!$A$14,'Base Cenários'!E19,'Base Cenários'!E30))))*$C$4</f>
        <v>0</v>
      </c>
      <c r="F10" s="9">
        <f>(IF($B$3='Base Cenários'!$A$3,'Base Cenários'!F8,(IF($B$3='Base Cenários'!$A$14,'Base Cenários'!F19,'Base Cenários'!F30))))*$C$4</f>
        <v>0</v>
      </c>
      <c r="H10" s="8" t="s">
        <v>12</v>
      </c>
      <c r="I10" s="45">
        <f>IF(Renda!B21&gt;0,B10/Renda!B21,0)</f>
        <v>0</v>
      </c>
      <c r="J10" s="45">
        <f>IF(Renda!C21&gt;0,C10/Renda!C21,0)</f>
        <v>0</v>
      </c>
      <c r="K10" s="45">
        <f>IF(Renda!D21&gt;0,D10/Renda!D21,0)</f>
        <v>0</v>
      </c>
      <c r="L10" s="45">
        <f>IF(Renda!E21&gt;0,E10/Renda!E21,0)</f>
        <v>0</v>
      </c>
      <c r="M10" s="45">
        <f>IF(Renda!F21&gt;0,F10/Renda!F21,0)</f>
        <v>0</v>
      </c>
    </row>
    <row r="11" spans="1:13">
      <c r="A11" s="8" t="s">
        <v>13</v>
      </c>
      <c r="B11" s="9">
        <f>(IF($B$3='Base Cenários'!$A$3,'Base Cenários'!B9,(IF($B$3='Base Cenários'!$A$14,'Base Cenários'!B20,'Base Cenários'!B31))))*$C$4</f>
        <v>0</v>
      </c>
      <c r="C11" s="9">
        <f>(IF($B$3='Base Cenários'!$A$3,'Base Cenários'!C9,(IF($B$3='Base Cenários'!$A$14,'Base Cenários'!C20,'Base Cenários'!C31))))*$C$4</f>
        <v>0</v>
      </c>
      <c r="D11" s="9">
        <f>(IF($B$3='Base Cenários'!$A$3,'Base Cenários'!D9,(IF($B$3='Base Cenários'!$A$14,'Base Cenários'!D20,'Base Cenários'!D31))))*$C$4</f>
        <v>0</v>
      </c>
      <c r="E11" s="9">
        <f>(IF($B$3='Base Cenários'!$A$3,'Base Cenários'!E9,(IF($B$3='Base Cenários'!$A$14,'Base Cenários'!E20,'Base Cenários'!E31))))*$C$4</f>
        <v>0</v>
      </c>
      <c r="F11" s="9">
        <f>(IF($B$3='Base Cenários'!$A$3,'Base Cenários'!F9,(IF($B$3='Base Cenários'!$A$14,'Base Cenários'!F20,'Base Cenários'!F31))))*$C$4</f>
        <v>0</v>
      </c>
      <c r="H11" s="8" t="s">
        <v>13</v>
      </c>
      <c r="I11" s="45">
        <f>IF(Renda!B22&gt;0,B11/Renda!B22,0)</f>
        <v>0</v>
      </c>
      <c r="J11" s="45">
        <f>IF(Renda!C22&gt;0,C11/Renda!C22,0)</f>
        <v>0</v>
      </c>
      <c r="K11" s="45">
        <f>IF(Renda!D22&gt;0,D11/Renda!D22,0)</f>
        <v>0</v>
      </c>
      <c r="L11" s="45">
        <f>IF(Renda!E22&gt;0,E11/Renda!E22,0)</f>
        <v>0</v>
      </c>
      <c r="M11" s="45">
        <f>IF(Renda!F22&gt;0,F11/Renda!F22,0)</f>
        <v>0</v>
      </c>
    </row>
    <row r="12" spans="1:13">
      <c r="A12" s="8" t="s">
        <v>14</v>
      </c>
      <c r="B12" s="9">
        <f>(IF($B$3='Base Cenários'!$A$3,'Base Cenários'!B10,(IF($B$3='Base Cenários'!$A$14,'Base Cenários'!B21,'Base Cenários'!B32))))*$C$4</f>
        <v>1789021.5672002733</v>
      </c>
      <c r="C12" s="9">
        <f>(IF($B$3='Base Cenários'!$A$3,'Base Cenários'!C10,(IF($B$3='Base Cenários'!$A$14,'Base Cenários'!C21,'Base Cenários'!C32))))*$C$4</f>
        <v>0</v>
      </c>
      <c r="D12" s="9">
        <f>(IF($B$3='Base Cenários'!$A$3,'Base Cenários'!D10,(IF($B$3='Base Cenários'!$A$14,'Base Cenários'!D21,'Base Cenários'!D32))))*$C$4</f>
        <v>681671.47479755897</v>
      </c>
      <c r="E12" s="9">
        <f>(IF($B$3='Base Cenários'!$A$3,'Base Cenários'!E10,(IF($B$3='Base Cenários'!$A$14,'Base Cenários'!E21,'Base Cenários'!E32))))*$C$4</f>
        <v>0</v>
      </c>
      <c r="F12" s="9">
        <f>(IF($B$3='Base Cenários'!$A$3,'Base Cenários'!F10,(IF($B$3='Base Cenários'!$A$14,'Base Cenários'!F21,'Base Cenários'!F32))))*$C$4</f>
        <v>3077837.7497599991</v>
      </c>
      <c r="H12" s="8" t="s">
        <v>14</v>
      </c>
      <c r="I12" s="45">
        <f>IF(Renda!B23&gt;0,B12/Renda!B23,0)</f>
        <v>2.1046396313907957E-2</v>
      </c>
      <c r="J12" s="45">
        <f>IF(Renda!C23&gt;0,C12/Renda!C23,0)</f>
        <v>0</v>
      </c>
      <c r="K12" s="45">
        <f>IF(Renda!D23&gt;0,D12/Renda!D23,0)</f>
        <v>1.1121436235088692E-4</v>
      </c>
      <c r="L12" s="45">
        <f>IF(Renda!E23&gt;0,E12/Renda!E23,0)</f>
        <v>0</v>
      </c>
      <c r="M12" s="45">
        <f>IF(Renda!F23&gt;0,F12/Renda!F23,0)</f>
        <v>1.0635370169550244E-3</v>
      </c>
    </row>
    <row r="13" spans="1:13">
      <c r="A13" s="8" t="s">
        <v>15</v>
      </c>
      <c r="B13" s="9">
        <f>(IF($B$3='Base Cenários'!$A$3,'Base Cenários'!B11,(IF($B$3='Base Cenários'!$A$14,'Base Cenários'!B22,'Base Cenários'!B33))))*$C$4</f>
        <v>0</v>
      </c>
      <c r="C13" s="9">
        <f>(IF($B$3='Base Cenários'!$A$3,'Base Cenários'!C11,(IF($B$3='Base Cenários'!$A$14,'Base Cenários'!C22,'Base Cenários'!C33))))*$C$4</f>
        <v>0</v>
      </c>
      <c r="D13" s="9">
        <f>(IF($B$3='Base Cenários'!$A$3,'Base Cenários'!D11,(IF($B$3='Base Cenários'!$A$14,'Base Cenários'!D22,'Base Cenários'!D33))))*$C$4</f>
        <v>0</v>
      </c>
      <c r="E13" s="9">
        <f>(IF($B$3='Base Cenários'!$A$3,'Base Cenários'!E11,(IF($B$3='Base Cenários'!$A$14,'Base Cenários'!E22,'Base Cenários'!E33))))*$C$4</f>
        <v>0</v>
      </c>
      <c r="F13" s="9">
        <f>(IF($B$3='Base Cenários'!$A$3,'Base Cenários'!F11,(IF($B$3='Base Cenários'!$A$14,'Base Cenários'!F22,'Base Cenários'!F33))))*$C$4</f>
        <v>0</v>
      </c>
      <c r="H13" s="8" t="s">
        <v>15</v>
      </c>
      <c r="I13" s="45">
        <f>IF(Renda!B24&gt;0,B13/Renda!B24,0)</f>
        <v>0</v>
      </c>
      <c r="J13" s="45">
        <f>IF(Renda!C24&gt;0,C13/Renda!C24,0)</f>
        <v>0</v>
      </c>
      <c r="K13" s="45">
        <f>IF(Renda!D24&gt;0,D13/Renda!D24,0)</f>
        <v>0</v>
      </c>
      <c r="L13" s="45">
        <f>IF(Renda!E24&gt;0,E13/Renda!E24,0)</f>
        <v>0</v>
      </c>
      <c r="M13" s="45">
        <f>IF(Renda!F24&gt;0,F13/Renda!F24,0)</f>
        <v>0</v>
      </c>
    </row>
    <row r="14" spans="1:13">
      <c r="A14" s="8" t="s">
        <v>16</v>
      </c>
      <c r="B14" s="9">
        <f>(IF($B$3='Base Cenários'!$A$3,'Base Cenários'!B12,(IF($B$3='Base Cenários'!$A$14,'Base Cenários'!B23,'Base Cenários'!B34))))*$C$4</f>
        <v>0</v>
      </c>
      <c r="C14" s="9">
        <f>(IF($B$3='Base Cenários'!$A$3,'Base Cenários'!C12,(IF($B$3='Base Cenários'!$A$14,'Base Cenários'!C23,'Base Cenários'!C34))))*$C$4</f>
        <v>0</v>
      </c>
      <c r="D14" s="9">
        <f>(IF($B$3='Base Cenários'!$A$3,'Base Cenários'!D12,(IF($B$3='Base Cenários'!$A$14,'Base Cenários'!D23,'Base Cenários'!D34))))*$C$4</f>
        <v>1821.9294239999997</v>
      </c>
      <c r="E14" s="9">
        <f>(IF($B$3='Base Cenários'!$A$3,'Base Cenários'!E12,(IF($B$3='Base Cenários'!$A$14,'Base Cenários'!E23,'Base Cenários'!E34))))*$C$4</f>
        <v>0</v>
      </c>
      <c r="F14" s="9">
        <f>(IF($B$3='Base Cenários'!$A$3,'Base Cenários'!F12,(IF($B$3='Base Cenários'!$A$14,'Base Cenários'!F23,'Base Cenários'!F34))))*$C$4</f>
        <v>0</v>
      </c>
      <c r="H14" s="8" t="s">
        <v>16</v>
      </c>
      <c r="I14" s="45">
        <f>IF(Renda!B25&gt;0,B14/Renda!B25,0)</f>
        <v>0</v>
      </c>
      <c r="J14" s="45">
        <f>IF(Renda!C25&gt;0,C14/Renda!C25,0)</f>
        <v>0</v>
      </c>
      <c r="K14" s="45">
        <f>IF(Renda!D25&gt;0,D14/Renda!D25,0)</f>
        <v>3.8643711189688207E-7</v>
      </c>
      <c r="L14" s="45">
        <f>IF(Renda!E25&gt;0,E14/Renda!E25,0)</f>
        <v>0</v>
      </c>
      <c r="M14" s="45">
        <f>IF(Renda!F25&gt;0,F14/Renda!F25,0)</f>
        <v>0</v>
      </c>
    </row>
    <row r="15" spans="1:13" ht="12.75" thickBot="1">
      <c r="A15" s="36" t="s">
        <v>17</v>
      </c>
      <c r="B15" s="37">
        <f>SUM(B9:B14)</f>
        <v>1789021.5672002733</v>
      </c>
      <c r="C15" s="37">
        <f t="shared" ref="C15:E15" si="0">SUM(C9:C14)</f>
        <v>0</v>
      </c>
      <c r="D15" s="37">
        <f t="shared" si="0"/>
        <v>683493.40422155894</v>
      </c>
      <c r="E15" s="37">
        <f t="shared" si="0"/>
        <v>0</v>
      </c>
      <c r="F15" s="37">
        <f>SUM(F9:F14)</f>
        <v>3077837.7497599991</v>
      </c>
      <c r="H15" s="36" t="s">
        <v>17</v>
      </c>
      <c r="I15" s="46">
        <f>IF(B15&gt;0,B15/Renda!B26,0)</f>
        <v>1.1688761709442545E-2</v>
      </c>
      <c r="J15" s="46">
        <f>IF(C15&gt;0,C15/Renda!C26,0)</f>
        <v>0</v>
      </c>
      <c r="K15" s="46">
        <f>IF(D15&gt;0,D15/Renda!D26,0)</f>
        <v>5.1056586968164097E-5</v>
      </c>
      <c r="L15" s="46">
        <f>IF(E15&gt;0,E15/Renda!E26,0)</f>
        <v>0</v>
      </c>
      <c r="M15" s="46">
        <f>IF(F15&gt;0,F15/Renda!F26,0)</f>
        <v>1.0635370169550244E-3</v>
      </c>
    </row>
  </sheetData>
  <mergeCells count="8">
    <mergeCell ref="B2:I2"/>
    <mergeCell ref="A1:M1"/>
    <mergeCell ref="A7:A8"/>
    <mergeCell ref="B8:F8"/>
    <mergeCell ref="A6:F6"/>
    <mergeCell ref="H6:M6"/>
    <mergeCell ref="H7:H8"/>
    <mergeCell ref="I8:M8"/>
  </mergeCells>
  <dataValidations count="2">
    <dataValidation type="list" allowBlank="1" showInputMessage="1" showErrorMessage="1" sqref="B3" xr:uid="{C6B227FB-AB52-4032-92DD-393C0A22BDF5}">
      <formula1>"Cenário 1,Cenário 2,Cenário 3"</formula1>
    </dataValidation>
    <dataValidation type="list" allowBlank="1" showInputMessage="1" showErrorMessage="1" sqref="B4" xr:uid="{357341B7-A906-4428-A1A0-B7FF283B5242}">
      <formula1>"PPU 1,PPU 2,PPU 3"</formula1>
    </dataValidation>
  </dataValidations>
  <pageMargins left="0.511811024" right="0.511811024" top="0.78740157499999996" bottom="0.78740157499999996" header="0.31496062000000002" footer="0.31496062000000002"/>
  <drawing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1D2EE0-08BB-49C7-AE96-821C86067D2A}">
  <dimension ref="A1:M15"/>
  <sheetViews>
    <sheetView workbookViewId="0">
      <selection activeCell="E9" sqref="E9"/>
    </sheetView>
  </sheetViews>
  <sheetFormatPr defaultColWidth="9.125" defaultRowHeight="12"/>
  <cols>
    <col min="1" max="1" width="19.75" style="8" bestFit="1" customWidth="1"/>
    <col min="2" max="2" width="23.375" style="8" bestFit="1" customWidth="1"/>
    <col min="3" max="3" width="13.25" style="8" bestFit="1" customWidth="1"/>
    <col min="4" max="4" width="23.375" style="8" bestFit="1" customWidth="1"/>
    <col min="5" max="5" width="15.25" style="8" bestFit="1" customWidth="1"/>
    <col min="6" max="6" width="16.25" style="8" bestFit="1" customWidth="1"/>
    <col min="7" max="7" width="9.375" style="8" bestFit="1" customWidth="1"/>
    <col min="8" max="8" width="18.75" style="8" bestFit="1" customWidth="1"/>
    <col min="9" max="9" width="15.125" style="42" bestFit="1" customWidth="1"/>
    <col min="10" max="10" width="13.25" style="42" bestFit="1" customWidth="1"/>
    <col min="11" max="11" width="9.75" style="8" bestFit="1" customWidth="1"/>
    <col min="12" max="12" width="10" style="8" bestFit="1" customWidth="1"/>
    <col min="13" max="13" width="13.625" style="8" bestFit="1" customWidth="1"/>
    <col min="14" max="16384" width="9.125" style="8"/>
  </cols>
  <sheetData>
    <row r="1" spans="1:13" ht="15.75">
      <c r="A1" s="158" t="s">
        <v>88</v>
      </c>
      <c r="B1" s="158"/>
      <c r="C1" s="158"/>
      <c r="D1" s="158"/>
      <c r="E1" s="158"/>
      <c r="F1" s="158"/>
      <c r="G1" s="158"/>
      <c r="H1" s="158"/>
      <c r="I1" s="158"/>
      <c r="J1" s="158"/>
      <c r="K1" s="158"/>
      <c r="L1" s="158"/>
      <c r="M1" s="158"/>
    </row>
    <row r="2" spans="1:13">
      <c r="A2" s="38" t="s">
        <v>34</v>
      </c>
      <c r="B2" s="157" t="s">
        <v>100</v>
      </c>
      <c r="C2" s="157"/>
      <c r="D2" s="157"/>
      <c r="E2" s="157"/>
      <c r="F2" s="157"/>
      <c r="G2" s="157"/>
      <c r="H2" s="157"/>
      <c r="I2" s="157"/>
      <c r="J2" s="39"/>
    </row>
    <row r="3" spans="1:13">
      <c r="A3" s="38" t="s">
        <v>35</v>
      </c>
      <c r="B3" s="40" t="s">
        <v>69</v>
      </c>
      <c r="C3" s="40"/>
      <c r="D3" s="40"/>
      <c r="E3" s="40"/>
      <c r="F3" s="40"/>
      <c r="G3" s="40"/>
      <c r="H3" s="40"/>
      <c r="I3" s="39"/>
      <c r="J3" s="39"/>
    </row>
    <row r="4" spans="1:13">
      <c r="A4" s="38" t="s">
        <v>99</v>
      </c>
      <c r="B4" s="40" t="s">
        <v>64</v>
      </c>
      <c r="C4" s="44">
        <f>IF(B4='Base Cenários'!I2,'Base Cenários'!J2,(IF('Cenário A.1.2'!B4='Base Cenários'!I3,'Base Cenários'!J3,'Base Cenários'!J4)))</f>
        <v>8.405E-2</v>
      </c>
      <c r="D4" s="40" t="s">
        <v>43</v>
      </c>
      <c r="E4" s="40"/>
      <c r="F4" s="40"/>
      <c r="G4" s="40"/>
      <c r="H4" s="40"/>
      <c r="I4" s="39"/>
      <c r="J4" s="39"/>
    </row>
    <row r="5" spans="1:13" ht="12.75" thickBot="1">
      <c r="A5" s="10"/>
      <c r="B5" s="10"/>
      <c r="C5" s="10"/>
      <c r="D5" s="10"/>
      <c r="E5" s="10"/>
      <c r="F5" s="10"/>
      <c r="H5" s="10"/>
      <c r="I5" s="41"/>
      <c r="J5" s="41"/>
      <c r="K5" s="10"/>
      <c r="L5" s="10"/>
      <c r="M5" s="10"/>
    </row>
    <row r="6" spans="1:13">
      <c r="A6" s="161" t="s">
        <v>48</v>
      </c>
      <c r="B6" s="161"/>
      <c r="C6" s="161"/>
      <c r="D6" s="161"/>
      <c r="E6" s="161"/>
      <c r="F6" s="161"/>
      <c r="H6" s="161" t="s">
        <v>49</v>
      </c>
      <c r="I6" s="161"/>
      <c r="J6" s="161"/>
      <c r="K6" s="161"/>
      <c r="L6" s="161"/>
      <c r="M6" s="161"/>
    </row>
    <row r="7" spans="1:13" s="11" customFormat="1">
      <c r="A7" s="159" t="s">
        <v>47</v>
      </c>
      <c r="B7" s="35" t="s">
        <v>1</v>
      </c>
      <c r="C7" s="35" t="s">
        <v>2</v>
      </c>
      <c r="D7" s="35" t="s">
        <v>3</v>
      </c>
      <c r="E7" s="35" t="s">
        <v>4</v>
      </c>
      <c r="F7" s="35" t="s">
        <v>5</v>
      </c>
      <c r="H7" s="159" t="s">
        <v>47</v>
      </c>
      <c r="I7" s="35" t="s">
        <v>1</v>
      </c>
      <c r="J7" s="35" t="s">
        <v>2</v>
      </c>
      <c r="K7" s="35" t="s">
        <v>3</v>
      </c>
      <c r="L7" s="35" t="s">
        <v>4</v>
      </c>
      <c r="M7" s="35" t="s">
        <v>5</v>
      </c>
    </row>
    <row r="8" spans="1:13">
      <c r="A8" s="160"/>
      <c r="B8" s="155" t="s">
        <v>42</v>
      </c>
      <c r="C8" s="155"/>
      <c r="D8" s="155"/>
      <c r="E8" s="155"/>
      <c r="F8" s="155"/>
      <c r="H8" s="160"/>
      <c r="I8" s="155" t="s">
        <v>50</v>
      </c>
      <c r="J8" s="155"/>
      <c r="K8" s="155"/>
      <c r="L8" s="155"/>
      <c r="M8" s="155"/>
    </row>
    <row r="9" spans="1:13">
      <c r="A9" s="8" t="s">
        <v>11</v>
      </c>
      <c r="B9" s="9">
        <f>(IF($B$3='Base Cenários'!$A$3,'Base Cenários'!B7,(IF($B$3='Base Cenários'!$A$14,'Base Cenários'!B18,'Base Cenários'!B29))))*$C$4</f>
        <v>0</v>
      </c>
      <c r="C9" s="9">
        <f>(IF($B$3='Base Cenários'!$A$3,'Base Cenários'!C7,(IF($B$3='Base Cenários'!$A$14,'Base Cenários'!C18,'Base Cenários'!C29))))*$C$4</f>
        <v>0</v>
      </c>
      <c r="D9" s="9">
        <f>(IF($B$3='Base Cenários'!$A$3,'Base Cenários'!D7,(IF($B$3='Base Cenários'!$A$14,'Base Cenários'!D18,'Base Cenários'!D29))))*$C$4</f>
        <v>0</v>
      </c>
      <c r="E9" s="9">
        <f>(IF($B$3='Base Cenários'!$A$3,'Base Cenários'!E7,(IF($B$3='Base Cenários'!$A$14,'Base Cenários'!E18,'Base Cenários'!E29))))*$C$4</f>
        <v>0</v>
      </c>
      <c r="F9" s="9">
        <f>(IF($B$3='Base Cenários'!$A$3,'Base Cenários'!F7,(IF($B$3='Base Cenários'!$A$14,'Base Cenários'!F18,'Base Cenários'!F29))))*$C$4</f>
        <v>0</v>
      </c>
      <c r="H9" s="8" t="s">
        <v>11</v>
      </c>
      <c r="I9" s="45">
        <f>IF(Renda!B20&gt;0,B9/Renda!B20,0)</f>
        <v>0</v>
      </c>
      <c r="J9" s="45">
        <f>IF(Renda!C20&gt;0,C9/Renda!C20,0)</f>
        <v>0</v>
      </c>
      <c r="K9" s="45">
        <f>IF(Renda!D20&gt;0,D9/Renda!D20,0)</f>
        <v>0</v>
      </c>
      <c r="L9" s="45">
        <f>IF(Renda!E20&gt;0,E9/Renda!E20,0)</f>
        <v>0</v>
      </c>
      <c r="M9" s="45">
        <f>IF(Renda!F20&gt;0,F9/Renda!F20,0)</f>
        <v>0</v>
      </c>
    </row>
    <row r="10" spans="1:13">
      <c r="A10" s="8" t="s">
        <v>12</v>
      </c>
      <c r="B10" s="9">
        <f>(IF($B$3='Base Cenários'!$A$3,'Base Cenários'!B8,(IF($B$3='Base Cenários'!$A$14,'Base Cenários'!B19,'Base Cenários'!B30))))*$C$4</f>
        <v>0</v>
      </c>
      <c r="C10" s="9">
        <f>(IF($B$3='Base Cenários'!$A$3,'Base Cenários'!C8,(IF($B$3='Base Cenários'!$A$14,'Base Cenários'!C19,'Base Cenários'!C30))))*$C$4</f>
        <v>0</v>
      </c>
      <c r="D10" s="9">
        <f>(IF($B$3='Base Cenários'!$A$3,'Base Cenários'!D8,(IF($B$3='Base Cenários'!$A$14,'Base Cenários'!D19,'Base Cenários'!D30))))*$C$4</f>
        <v>0</v>
      </c>
      <c r="E10" s="9">
        <f>(IF($B$3='Base Cenários'!$A$3,'Base Cenários'!E8,(IF($B$3='Base Cenários'!$A$14,'Base Cenários'!E19,'Base Cenários'!E30))))*$C$4</f>
        <v>0</v>
      </c>
      <c r="F10" s="9">
        <f>(IF($B$3='Base Cenários'!$A$3,'Base Cenários'!F8,(IF($B$3='Base Cenários'!$A$14,'Base Cenários'!F19,'Base Cenários'!F30))))*$C$4</f>
        <v>0</v>
      </c>
      <c r="H10" s="8" t="s">
        <v>12</v>
      </c>
      <c r="I10" s="45">
        <f>IF(Renda!B21&gt;0,B10/Renda!B21,0)</f>
        <v>0</v>
      </c>
      <c r="J10" s="45">
        <f>IF(Renda!C21&gt;0,C10/Renda!C21,0)</f>
        <v>0</v>
      </c>
      <c r="K10" s="45">
        <f>IF(Renda!D21&gt;0,D10/Renda!D21,0)</f>
        <v>0</v>
      </c>
      <c r="L10" s="45">
        <f>IF(Renda!E21&gt;0,E10/Renda!E21,0)</f>
        <v>0</v>
      </c>
      <c r="M10" s="45">
        <f>IF(Renda!F21&gt;0,F10/Renda!F21,0)</f>
        <v>0</v>
      </c>
    </row>
    <row r="11" spans="1:13">
      <c r="A11" s="8" t="s">
        <v>13</v>
      </c>
      <c r="B11" s="9">
        <f>(IF($B$3='Base Cenários'!$A$3,'Base Cenários'!B9,(IF($B$3='Base Cenários'!$A$14,'Base Cenários'!B20,'Base Cenários'!B31))))*$C$4</f>
        <v>0</v>
      </c>
      <c r="C11" s="9">
        <f>(IF($B$3='Base Cenários'!$A$3,'Base Cenários'!C9,(IF($B$3='Base Cenários'!$A$14,'Base Cenários'!C20,'Base Cenários'!C31))))*$C$4</f>
        <v>0</v>
      </c>
      <c r="D11" s="9">
        <f>(IF($B$3='Base Cenários'!$A$3,'Base Cenários'!D9,(IF($B$3='Base Cenários'!$A$14,'Base Cenários'!D20,'Base Cenários'!D31))))*$C$4</f>
        <v>0</v>
      </c>
      <c r="E11" s="9">
        <f>(IF($B$3='Base Cenários'!$A$3,'Base Cenários'!E9,(IF($B$3='Base Cenários'!$A$14,'Base Cenários'!E20,'Base Cenários'!E31))))*$C$4</f>
        <v>0</v>
      </c>
      <c r="F11" s="9">
        <f>(IF($B$3='Base Cenários'!$A$3,'Base Cenários'!F9,(IF($B$3='Base Cenários'!$A$14,'Base Cenários'!F20,'Base Cenários'!F31))))*$C$4</f>
        <v>0</v>
      </c>
      <c r="H11" s="8" t="s">
        <v>13</v>
      </c>
      <c r="I11" s="45">
        <f>IF(Renda!B22&gt;0,B11/Renda!B22,0)</f>
        <v>0</v>
      </c>
      <c r="J11" s="45">
        <f>IF(Renda!C22&gt;0,C11/Renda!C22,0)</f>
        <v>0</v>
      </c>
      <c r="K11" s="45">
        <f>IF(Renda!D22&gt;0,D11/Renda!D22,0)</f>
        <v>0</v>
      </c>
      <c r="L11" s="45">
        <f>IF(Renda!E22&gt;0,E11/Renda!E22,0)</f>
        <v>0</v>
      </c>
      <c r="M11" s="45">
        <f>IF(Renda!F22&gt;0,F11/Renda!F22,0)</f>
        <v>0</v>
      </c>
    </row>
    <row r="12" spans="1:13">
      <c r="A12" s="8" t="s">
        <v>14</v>
      </c>
      <c r="B12" s="9">
        <f>(IF($B$3='Base Cenários'!$A$3,'Base Cenários'!B10,(IF($B$3='Base Cenários'!$A$14,'Base Cenários'!B21,'Base Cenários'!B32))))*$C$4</f>
        <v>2280019.1466744957</v>
      </c>
      <c r="C12" s="9">
        <f>(IF($B$3='Base Cenários'!$A$3,'Base Cenários'!C10,(IF($B$3='Base Cenários'!$A$14,'Base Cenários'!C21,'Base Cenários'!C32))))*$C$4</f>
        <v>0</v>
      </c>
      <c r="D12" s="9">
        <f>(IF($B$3='Base Cenários'!$A$3,'Base Cenários'!D10,(IF($B$3='Base Cenários'!$A$14,'Base Cenários'!D21,'Base Cenários'!D32))))*$C$4</f>
        <v>868756.44361993682</v>
      </c>
      <c r="E12" s="9">
        <f>(IF($B$3='Base Cenários'!$A$3,'Base Cenários'!E10,(IF($B$3='Base Cenários'!$A$14,'Base Cenários'!E21,'Base Cenários'!E32))))*$C$4</f>
        <v>0</v>
      </c>
      <c r="F12" s="9">
        <f>(IF($B$3='Base Cenários'!$A$3,'Base Cenários'!F10,(IF($B$3='Base Cenários'!$A$14,'Base Cenários'!F21,'Base Cenários'!F32))))*$C$4</f>
        <v>3922551.3702399991</v>
      </c>
      <c r="H12" s="8" t="s">
        <v>14</v>
      </c>
      <c r="I12" s="45">
        <f>IF(Renda!B23&gt;0,B12/Renda!B23,0)</f>
        <v>2.6822586962607493E-2</v>
      </c>
      <c r="J12" s="45">
        <f>IF(Renda!C23&gt;0,C12/Renda!C23,0)</f>
        <v>0</v>
      </c>
      <c r="K12" s="45">
        <f>IF(Renda!D23&gt;0,D12/Renda!D23,0)</f>
        <v>1.417371820408195E-4</v>
      </c>
      <c r="L12" s="45">
        <f>IF(Renda!E23&gt;0,E12/Renda!E23,0)</f>
        <v>0</v>
      </c>
      <c r="M12" s="45">
        <f>IF(Renda!F23&gt;0,F12/Renda!F23,0)</f>
        <v>1.3554251141026509E-3</v>
      </c>
    </row>
    <row r="13" spans="1:13">
      <c r="A13" s="8" t="s">
        <v>15</v>
      </c>
      <c r="B13" s="9">
        <f>(IF($B$3='Base Cenários'!$A$3,'Base Cenários'!B11,(IF($B$3='Base Cenários'!$A$14,'Base Cenários'!B22,'Base Cenários'!B33))))*$C$4</f>
        <v>0</v>
      </c>
      <c r="C13" s="9">
        <f>(IF($B$3='Base Cenários'!$A$3,'Base Cenários'!C11,(IF($B$3='Base Cenários'!$A$14,'Base Cenários'!C22,'Base Cenários'!C33))))*$C$4</f>
        <v>0</v>
      </c>
      <c r="D13" s="9">
        <f>(IF($B$3='Base Cenários'!$A$3,'Base Cenários'!D11,(IF($B$3='Base Cenários'!$A$14,'Base Cenários'!D22,'Base Cenários'!D33))))*$C$4</f>
        <v>0</v>
      </c>
      <c r="E13" s="9">
        <f>(IF($B$3='Base Cenários'!$A$3,'Base Cenários'!E11,(IF($B$3='Base Cenários'!$A$14,'Base Cenários'!E22,'Base Cenários'!E33))))*$C$4</f>
        <v>0</v>
      </c>
      <c r="F13" s="9">
        <f>(IF($B$3='Base Cenários'!$A$3,'Base Cenários'!F11,(IF($B$3='Base Cenários'!$A$14,'Base Cenários'!F22,'Base Cenários'!F33))))*$C$4</f>
        <v>0</v>
      </c>
      <c r="H13" s="8" t="s">
        <v>15</v>
      </c>
      <c r="I13" s="45">
        <f>IF(Renda!B24&gt;0,B13/Renda!B24,0)</f>
        <v>0</v>
      </c>
      <c r="J13" s="45">
        <f>IF(Renda!C24&gt;0,C13/Renda!C24,0)</f>
        <v>0</v>
      </c>
      <c r="K13" s="45">
        <f>IF(Renda!D24&gt;0,D13/Renda!D24,0)</f>
        <v>0</v>
      </c>
      <c r="L13" s="45">
        <f>IF(Renda!E24&gt;0,E13/Renda!E24,0)</f>
        <v>0</v>
      </c>
      <c r="M13" s="45">
        <f>IF(Renda!F24&gt;0,F13/Renda!F24,0)</f>
        <v>0</v>
      </c>
    </row>
    <row r="14" spans="1:13">
      <c r="A14" s="8" t="s">
        <v>16</v>
      </c>
      <c r="B14" s="9">
        <f>(IF($B$3='Base Cenários'!$A$3,'Base Cenários'!B12,(IF($B$3='Base Cenários'!$A$14,'Base Cenários'!B23,'Base Cenários'!B34))))*$C$4</f>
        <v>0</v>
      </c>
      <c r="C14" s="9">
        <f>(IF($B$3='Base Cenários'!$A$3,'Base Cenários'!C12,(IF($B$3='Base Cenários'!$A$14,'Base Cenários'!C23,'Base Cenários'!C34))))*$C$4</f>
        <v>0</v>
      </c>
      <c r="D14" s="9">
        <f>(IF($B$3='Base Cenários'!$A$3,'Base Cenários'!D12,(IF($B$3='Base Cenários'!$A$14,'Base Cenários'!D23,'Base Cenários'!D34))))*$C$4</f>
        <v>2321.958576</v>
      </c>
      <c r="E14" s="9">
        <f>(IF($B$3='Base Cenários'!$A$3,'Base Cenários'!E12,(IF($B$3='Base Cenários'!$A$14,'Base Cenários'!E23,'Base Cenários'!E34))))*$C$4</f>
        <v>0</v>
      </c>
      <c r="F14" s="9">
        <f>(IF($B$3='Base Cenários'!$A$3,'Base Cenários'!F12,(IF($B$3='Base Cenários'!$A$14,'Base Cenários'!F23,'Base Cenários'!F34))))*$C$4</f>
        <v>0</v>
      </c>
      <c r="H14" s="8" t="s">
        <v>16</v>
      </c>
      <c r="I14" s="45">
        <f>IF(Renda!B25&gt;0,B14/Renda!B25,0)</f>
        <v>0</v>
      </c>
      <c r="J14" s="45">
        <f>IF(Renda!C25&gt;0,C14/Renda!C25,0)</f>
        <v>0</v>
      </c>
      <c r="K14" s="45">
        <f>IF(Renda!D25&gt;0,D14/Renda!D25,0)</f>
        <v>4.9249490909678464E-7</v>
      </c>
      <c r="L14" s="45">
        <f>IF(Renda!E25&gt;0,E14/Renda!E25,0)</f>
        <v>0</v>
      </c>
      <c r="M14" s="45">
        <f>IF(Renda!F25&gt;0,F14/Renda!F25,0)</f>
        <v>0</v>
      </c>
    </row>
    <row r="15" spans="1:13" ht="12.75" thickBot="1">
      <c r="A15" s="36" t="s">
        <v>17</v>
      </c>
      <c r="B15" s="37">
        <f>SUM(B9:B14)</f>
        <v>2280019.1466744957</v>
      </c>
      <c r="C15" s="37">
        <f t="shared" ref="C15:F15" si="0">SUM(C9:C14)</f>
        <v>0</v>
      </c>
      <c r="D15" s="37">
        <f t="shared" si="0"/>
        <v>871078.40219593677</v>
      </c>
      <c r="E15" s="37">
        <f t="shared" si="0"/>
        <v>0</v>
      </c>
      <c r="F15" s="37">
        <f t="shared" si="0"/>
        <v>3922551.3702399991</v>
      </c>
      <c r="H15" s="36" t="s">
        <v>17</v>
      </c>
      <c r="I15" s="46">
        <f>IF(B15&gt;0,B15/Renda!B26,0)</f>
        <v>1.4896746348425263E-2</v>
      </c>
      <c r="J15" s="46">
        <f>IF(C15&gt;0,C15/Renda!C26,0)</f>
        <v>0</v>
      </c>
      <c r="K15" s="46">
        <f>IF(D15&gt;0,D15/Renda!D26,0)</f>
        <v>6.5069084680427489E-5</v>
      </c>
      <c r="L15" s="46">
        <f>IF(E15&gt;0,E15/Renda!E26,0)</f>
        <v>0</v>
      </c>
      <c r="M15" s="46">
        <f>IF(F15&gt;0,F15/Renda!F26,0)</f>
        <v>1.3554251141026509E-3</v>
      </c>
    </row>
  </sheetData>
  <mergeCells count="8">
    <mergeCell ref="A1:M1"/>
    <mergeCell ref="B2:I2"/>
    <mergeCell ref="A6:F6"/>
    <mergeCell ref="H6:M6"/>
    <mergeCell ref="A7:A8"/>
    <mergeCell ref="H7:H8"/>
    <mergeCell ref="B8:F8"/>
    <mergeCell ref="I8:M8"/>
  </mergeCells>
  <dataValidations count="2">
    <dataValidation type="list" allowBlank="1" showInputMessage="1" showErrorMessage="1" sqref="B3" xr:uid="{FA3ED9CF-42E1-4747-A803-FAF20EA6D8B8}">
      <formula1>"Cenário 1,Cenário 2,Cenário 3"</formula1>
    </dataValidation>
    <dataValidation type="list" allowBlank="1" showInputMessage="1" showErrorMessage="1" sqref="B4" xr:uid="{2FFA4273-959D-4C80-8C5F-949D5625A025}">
      <formula1>"PPU 1,PPU 2,PPU 3"</formula1>
    </dataValidation>
  </dataValidations>
  <pageMargins left="0.511811024" right="0.511811024" top="0.78740157499999996" bottom="0.78740157499999996" header="0.31496062000000002" footer="0.31496062000000002"/>
  <drawing r:id="rId1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592E19-857A-4EC5-B4A0-CFBECF1174FF}">
  <dimension ref="A1:M15"/>
  <sheetViews>
    <sheetView workbookViewId="0">
      <selection activeCell="E9" sqref="E9"/>
    </sheetView>
  </sheetViews>
  <sheetFormatPr defaultColWidth="9.125" defaultRowHeight="12"/>
  <cols>
    <col min="1" max="1" width="19.75" style="8" bestFit="1" customWidth="1"/>
    <col min="2" max="2" width="16.125" style="8" bestFit="1" customWidth="1"/>
    <col min="3" max="5" width="15.25" style="8" bestFit="1" customWidth="1"/>
    <col min="6" max="6" width="16.25" style="8" bestFit="1" customWidth="1"/>
    <col min="7" max="7" width="9.375" style="8" bestFit="1" customWidth="1"/>
    <col min="8" max="8" width="18" style="8" customWidth="1"/>
    <col min="9" max="9" width="15.875" style="42" bestFit="1" customWidth="1"/>
    <col min="10" max="10" width="16.125" style="42" bestFit="1" customWidth="1"/>
    <col min="11" max="12" width="9.125" style="8"/>
    <col min="13" max="13" width="13.625" style="8" bestFit="1" customWidth="1"/>
    <col min="14" max="16384" width="9.125" style="8"/>
  </cols>
  <sheetData>
    <row r="1" spans="1:13" ht="15.75">
      <c r="A1" s="158" t="s">
        <v>89</v>
      </c>
      <c r="B1" s="158"/>
      <c r="C1" s="158"/>
      <c r="D1" s="158"/>
      <c r="E1" s="158"/>
      <c r="F1" s="158"/>
      <c r="G1" s="158"/>
      <c r="H1" s="158"/>
      <c r="I1" s="158"/>
      <c r="J1" s="158"/>
      <c r="K1" s="158"/>
      <c r="L1" s="158"/>
      <c r="M1" s="158"/>
    </row>
    <row r="2" spans="1:13">
      <c r="A2" s="38" t="s">
        <v>34</v>
      </c>
      <c r="B2" s="157" t="s">
        <v>100</v>
      </c>
      <c r="C2" s="157"/>
      <c r="D2" s="157"/>
      <c r="E2" s="157"/>
      <c r="F2" s="157"/>
      <c r="G2" s="157"/>
      <c r="H2" s="157"/>
      <c r="I2" s="157"/>
      <c r="J2" s="39"/>
    </row>
    <row r="3" spans="1:13">
      <c r="A3" s="38" t="s">
        <v>35</v>
      </c>
      <c r="B3" s="40" t="s">
        <v>69</v>
      </c>
      <c r="C3" s="40"/>
      <c r="D3" s="40"/>
      <c r="E3" s="40"/>
      <c r="F3" s="40"/>
      <c r="G3" s="40"/>
      <c r="H3" s="40"/>
      <c r="I3" s="39"/>
      <c r="J3" s="39"/>
    </row>
    <row r="4" spans="1:13">
      <c r="A4" s="38" t="s">
        <v>99</v>
      </c>
      <c r="B4" s="40" t="s">
        <v>65</v>
      </c>
      <c r="C4" s="44">
        <f>IF(B4='Base Cenários'!I2,'Base Cenários'!J2,(IF('Cenário A.1.3'!B4='Base Cenários'!I3,'Base Cenários'!J3,'Base Cenários'!J4)))</f>
        <v>0.15</v>
      </c>
      <c r="D4" s="40" t="s">
        <v>43</v>
      </c>
      <c r="E4" s="40"/>
      <c r="F4" s="40"/>
      <c r="G4" s="40"/>
      <c r="H4" s="40"/>
      <c r="I4" s="39"/>
      <c r="J4" s="39"/>
    </row>
    <row r="5" spans="1:13" ht="12.75" thickBot="1">
      <c r="A5" s="10"/>
      <c r="B5" s="10"/>
      <c r="C5" s="10"/>
      <c r="D5" s="10"/>
      <c r="E5" s="10"/>
      <c r="F5" s="10"/>
      <c r="H5" s="10"/>
      <c r="I5" s="41"/>
      <c r="J5" s="41"/>
      <c r="K5" s="10"/>
      <c r="L5" s="10"/>
      <c r="M5" s="10"/>
    </row>
    <row r="6" spans="1:13">
      <c r="A6" s="161" t="s">
        <v>48</v>
      </c>
      <c r="B6" s="161"/>
      <c r="C6" s="161"/>
      <c r="D6" s="161"/>
      <c r="E6" s="161"/>
      <c r="F6" s="161"/>
      <c r="H6" s="161" t="s">
        <v>49</v>
      </c>
      <c r="I6" s="161"/>
      <c r="J6" s="161"/>
      <c r="K6" s="161"/>
      <c r="L6" s="161"/>
      <c r="M6" s="161"/>
    </row>
    <row r="7" spans="1:13" s="11" customFormat="1">
      <c r="A7" s="159" t="s">
        <v>47</v>
      </c>
      <c r="B7" s="35" t="s">
        <v>1</v>
      </c>
      <c r="C7" s="35" t="s">
        <v>2</v>
      </c>
      <c r="D7" s="35" t="s">
        <v>3</v>
      </c>
      <c r="E7" s="35" t="s">
        <v>4</v>
      </c>
      <c r="F7" s="35" t="s">
        <v>5</v>
      </c>
      <c r="H7" s="159" t="s">
        <v>47</v>
      </c>
      <c r="I7" s="35" t="s">
        <v>1</v>
      </c>
      <c r="J7" s="35" t="s">
        <v>2</v>
      </c>
      <c r="K7" s="35" t="s">
        <v>3</v>
      </c>
      <c r="L7" s="35" t="s">
        <v>4</v>
      </c>
      <c r="M7" s="35" t="s">
        <v>5</v>
      </c>
    </row>
    <row r="8" spans="1:13">
      <c r="A8" s="160"/>
      <c r="B8" s="155" t="s">
        <v>42</v>
      </c>
      <c r="C8" s="155"/>
      <c r="D8" s="155"/>
      <c r="E8" s="155"/>
      <c r="F8" s="155"/>
      <c r="H8" s="160"/>
      <c r="I8" s="155" t="s">
        <v>50</v>
      </c>
      <c r="J8" s="155"/>
      <c r="K8" s="155"/>
      <c r="L8" s="155"/>
      <c r="M8" s="155"/>
    </row>
    <row r="9" spans="1:13">
      <c r="A9" s="8" t="s">
        <v>11</v>
      </c>
      <c r="B9" s="9">
        <f>(IF($B$3='Base Cenários'!$A$3,'Base Cenários'!B7,(IF($B$3='Base Cenários'!$A$14,'Base Cenários'!B18,'Base Cenários'!B29))))*$C$4</f>
        <v>0</v>
      </c>
      <c r="C9" s="9">
        <f>(IF($B$3='Base Cenários'!$A$3,'Base Cenários'!C7,(IF($B$3='Base Cenários'!$A$14,'Base Cenários'!C18,'Base Cenários'!C29))))*$C$4</f>
        <v>0</v>
      </c>
      <c r="D9" s="9">
        <f>(IF($B$3='Base Cenários'!$A$3,'Base Cenários'!D7,(IF($B$3='Base Cenários'!$A$14,'Base Cenários'!D18,'Base Cenários'!D29))))*$C$4</f>
        <v>0</v>
      </c>
      <c r="E9" s="9">
        <f>(IF($B$3='Base Cenários'!$A$3,'Base Cenários'!E7,(IF($B$3='Base Cenários'!$A$14,'Base Cenários'!E18,'Base Cenários'!E29))))*$C$4</f>
        <v>0</v>
      </c>
      <c r="F9" s="9">
        <f>(IF($B$3='Base Cenários'!$A$3,'Base Cenários'!F7,(IF($B$3='Base Cenários'!$A$14,'Base Cenários'!F18,'Base Cenários'!F29))))*$C$4</f>
        <v>0</v>
      </c>
      <c r="H9" s="8" t="s">
        <v>11</v>
      </c>
      <c r="I9" s="45">
        <f>IF(Renda!B20&gt;0,B9/Renda!B20,0)</f>
        <v>0</v>
      </c>
      <c r="J9" s="45">
        <f>IF(Renda!C20&gt;0,C9/Renda!C20,0)</f>
        <v>0</v>
      </c>
      <c r="K9" s="45">
        <f>IF(Renda!D20&gt;0,D9/Renda!D20,0)</f>
        <v>0</v>
      </c>
      <c r="L9" s="45">
        <f>IF(Renda!E20&gt;0,E9/Renda!E20,0)</f>
        <v>0</v>
      </c>
      <c r="M9" s="45">
        <f>IF(Renda!F20&gt;0,F9/Renda!F20,0)</f>
        <v>0</v>
      </c>
    </row>
    <row r="10" spans="1:13">
      <c r="A10" s="8" t="s">
        <v>12</v>
      </c>
      <c r="B10" s="9">
        <f>(IF($B$3='Base Cenários'!$A$3,'Base Cenários'!B8,(IF($B$3='Base Cenários'!$A$14,'Base Cenários'!B19,'Base Cenários'!B30))))*$C$4</f>
        <v>0</v>
      </c>
      <c r="C10" s="9">
        <f>(IF($B$3='Base Cenários'!$A$3,'Base Cenários'!C8,(IF($B$3='Base Cenários'!$A$14,'Base Cenários'!C19,'Base Cenários'!C30))))*$C$4</f>
        <v>0</v>
      </c>
      <c r="D10" s="9">
        <f>(IF($B$3='Base Cenários'!$A$3,'Base Cenários'!D8,(IF($B$3='Base Cenários'!$A$14,'Base Cenários'!D19,'Base Cenários'!D30))))*$C$4</f>
        <v>0</v>
      </c>
      <c r="E10" s="9">
        <f>(IF($B$3='Base Cenários'!$A$3,'Base Cenários'!E8,(IF($B$3='Base Cenários'!$A$14,'Base Cenários'!E19,'Base Cenários'!E30))))*$C$4</f>
        <v>0</v>
      </c>
      <c r="F10" s="9">
        <f>(IF($B$3='Base Cenários'!$A$3,'Base Cenários'!F8,(IF($B$3='Base Cenários'!$A$14,'Base Cenários'!F19,'Base Cenários'!F30))))*$C$4</f>
        <v>0</v>
      </c>
      <c r="H10" s="8" t="s">
        <v>12</v>
      </c>
      <c r="I10" s="45">
        <f>IF(Renda!B21&gt;0,B10/Renda!B21,0)</f>
        <v>0</v>
      </c>
      <c r="J10" s="45">
        <f>IF(Renda!C21&gt;0,C10/Renda!C21,0)</f>
        <v>0</v>
      </c>
      <c r="K10" s="45">
        <f>IF(Renda!D21&gt;0,D10/Renda!D21,0)</f>
        <v>0</v>
      </c>
      <c r="L10" s="45">
        <f>IF(Renda!E21&gt;0,E10/Renda!E21,0)</f>
        <v>0</v>
      </c>
      <c r="M10" s="45">
        <f>IF(Renda!F21&gt;0,F10/Renda!F21,0)</f>
        <v>0</v>
      </c>
    </row>
    <row r="11" spans="1:13">
      <c r="A11" s="8" t="s">
        <v>13</v>
      </c>
      <c r="B11" s="9">
        <f>(IF($B$3='Base Cenários'!$A$3,'Base Cenários'!B9,(IF($B$3='Base Cenários'!$A$14,'Base Cenários'!B20,'Base Cenários'!B31))))*$C$4</f>
        <v>0</v>
      </c>
      <c r="C11" s="9">
        <f>(IF($B$3='Base Cenários'!$A$3,'Base Cenários'!C9,(IF($B$3='Base Cenários'!$A$14,'Base Cenários'!C20,'Base Cenários'!C31))))*$C$4</f>
        <v>0</v>
      </c>
      <c r="D11" s="9">
        <f>(IF($B$3='Base Cenários'!$A$3,'Base Cenários'!D9,(IF($B$3='Base Cenários'!$A$14,'Base Cenários'!D20,'Base Cenários'!D31))))*$C$4</f>
        <v>0</v>
      </c>
      <c r="E11" s="9">
        <f>(IF($B$3='Base Cenários'!$A$3,'Base Cenários'!E9,(IF($B$3='Base Cenários'!$A$14,'Base Cenários'!E20,'Base Cenários'!E31))))*$C$4</f>
        <v>0</v>
      </c>
      <c r="F11" s="9">
        <f>(IF($B$3='Base Cenários'!$A$3,'Base Cenários'!F9,(IF($B$3='Base Cenários'!$A$14,'Base Cenários'!F20,'Base Cenários'!F31))))*$C$4</f>
        <v>0</v>
      </c>
      <c r="H11" s="8" t="s">
        <v>13</v>
      </c>
      <c r="I11" s="45">
        <f>IF(Renda!B22&gt;0,B11/Renda!B22,0)</f>
        <v>0</v>
      </c>
      <c r="J11" s="45">
        <f>IF(Renda!C22&gt;0,C11/Renda!C22,0)</f>
        <v>0</v>
      </c>
      <c r="K11" s="45">
        <f>IF(Renda!D22&gt;0,D11/Renda!D22,0)</f>
        <v>0</v>
      </c>
      <c r="L11" s="45">
        <f>IF(Renda!E22&gt;0,E11/Renda!E22,0)</f>
        <v>0</v>
      </c>
      <c r="M11" s="45">
        <f>IF(Renda!F22&gt;0,F11/Renda!F22,0)</f>
        <v>0</v>
      </c>
    </row>
    <row r="12" spans="1:13">
      <c r="A12" s="8" t="s">
        <v>14</v>
      </c>
      <c r="B12" s="9">
        <f>(IF($B$3='Base Cenários'!$A$3,'Base Cenários'!B10,(IF($B$3='Base Cenários'!$A$14,'Base Cenários'!B21,'Base Cenários'!B32))))*$C$4</f>
        <v>4069040.7138747685</v>
      </c>
      <c r="C12" s="9">
        <f>(IF($B$3='Base Cenários'!$A$3,'Base Cenários'!C10,(IF($B$3='Base Cenários'!$A$14,'Base Cenários'!C21,'Base Cenários'!C32))))*$C$4</f>
        <v>0</v>
      </c>
      <c r="D12" s="9">
        <f>(IF($B$3='Base Cenários'!$A$3,'Base Cenários'!D10,(IF($B$3='Base Cenários'!$A$14,'Base Cenários'!D21,'Base Cenários'!D32))))*$C$4</f>
        <v>1550427.9184174957</v>
      </c>
      <c r="E12" s="9">
        <f>(IF($B$3='Base Cenários'!$A$3,'Base Cenários'!E10,(IF($B$3='Base Cenários'!$A$14,'Base Cenários'!E21,'Base Cenários'!E32))))*$C$4</f>
        <v>0</v>
      </c>
      <c r="F12" s="9">
        <f>(IF($B$3='Base Cenários'!$A$3,'Base Cenários'!F10,(IF($B$3='Base Cenários'!$A$14,'Base Cenários'!F21,'Base Cenários'!F32))))*$C$4</f>
        <v>7000389.1199999982</v>
      </c>
      <c r="H12" s="8" t="s">
        <v>14</v>
      </c>
      <c r="I12" s="45">
        <f>IF(Renda!B23&gt;0,B12/Renda!B23,0)</f>
        <v>4.7868983276515446E-2</v>
      </c>
      <c r="J12" s="45">
        <f>IF(Renda!C23&gt;0,C12/Renda!C23,0)</f>
        <v>0</v>
      </c>
      <c r="K12" s="45">
        <f>IF(Renda!D23&gt;0,D12/Renda!D23,0)</f>
        <v>2.5295154439170637E-4</v>
      </c>
      <c r="L12" s="45">
        <f>IF(Renda!E23&gt;0,E12/Renda!E23,0)</f>
        <v>0</v>
      </c>
      <c r="M12" s="45">
        <f>IF(Renda!F23&gt;0,F12/Renda!F23,0)</f>
        <v>2.4189621310576753E-3</v>
      </c>
    </row>
    <row r="13" spans="1:13">
      <c r="A13" s="8" t="s">
        <v>15</v>
      </c>
      <c r="B13" s="9">
        <f>(IF($B$3='Base Cenários'!$A$3,'Base Cenários'!B11,(IF($B$3='Base Cenários'!$A$14,'Base Cenários'!B22,'Base Cenários'!B33))))*$C$4</f>
        <v>0</v>
      </c>
      <c r="C13" s="9">
        <f>(IF($B$3='Base Cenários'!$A$3,'Base Cenários'!C11,(IF($B$3='Base Cenários'!$A$14,'Base Cenários'!C22,'Base Cenários'!C33))))*$C$4</f>
        <v>0</v>
      </c>
      <c r="D13" s="9">
        <f>(IF($B$3='Base Cenários'!$A$3,'Base Cenários'!D11,(IF($B$3='Base Cenários'!$A$14,'Base Cenários'!D22,'Base Cenários'!D33))))*$C$4</f>
        <v>0</v>
      </c>
      <c r="E13" s="9">
        <f>(IF($B$3='Base Cenários'!$A$3,'Base Cenários'!E11,(IF($B$3='Base Cenários'!$A$14,'Base Cenários'!E22,'Base Cenários'!E33))))*$C$4</f>
        <v>0</v>
      </c>
      <c r="F13" s="9">
        <f>(IF($B$3='Base Cenários'!$A$3,'Base Cenários'!F11,(IF($B$3='Base Cenários'!$A$14,'Base Cenários'!F22,'Base Cenários'!F33))))*$C$4</f>
        <v>0</v>
      </c>
      <c r="H13" s="8" t="s">
        <v>15</v>
      </c>
      <c r="I13" s="45">
        <f>IF(Renda!B24&gt;0,B13/Renda!B24,0)</f>
        <v>0</v>
      </c>
      <c r="J13" s="45">
        <f>IF(Renda!C24&gt;0,C13/Renda!C24,0)</f>
        <v>0</v>
      </c>
      <c r="K13" s="45">
        <f>IF(Renda!D24&gt;0,D13/Renda!D24,0)</f>
        <v>0</v>
      </c>
      <c r="L13" s="45">
        <f>IF(Renda!E24&gt;0,E13/Renda!E24,0)</f>
        <v>0</v>
      </c>
      <c r="M13" s="45">
        <f>IF(Renda!F24&gt;0,F13/Renda!F24,0)</f>
        <v>0</v>
      </c>
    </row>
    <row r="14" spans="1:13">
      <c r="A14" s="8" t="s">
        <v>16</v>
      </c>
      <c r="B14" s="9">
        <f>(IF($B$3='Base Cenários'!$A$3,'Base Cenários'!B12,(IF($B$3='Base Cenários'!$A$14,'Base Cenários'!B23,'Base Cenários'!B34))))*$C$4</f>
        <v>0</v>
      </c>
      <c r="C14" s="9">
        <f>(IF($B$3='Base Cenários'!$A$3,'Base Cenários'!C12,(IF($B$3='Base Cenários'!$A$14,'Base Cenários'!C23,'Base Cenários'!C34))))*$C$4</f>
        <v>0</v>
      </c>
      <c r="D14" s="9">
        <f>(IF($B$3='Base Cenários'!$A$3,'Base Cenários'!D12,(IF($B$3='Base Cenários'!$A$14,'Base Cenários'!D23,'Base Cenários'!D34))))*$C$4</f>
        <v>4143.8879999999999</v>
      </c>
      <c r="E14" s="9">
        <f>(IF($B$3='Base Cenários'!$A$3,'Base Cenários'!E12,(IF($B$3='Base Cenários'!$A$14,'Base Cenários'!E23,'Base Cenários'!E34))))*$C$4</f>
        <v>0</v>
      </c>
      <c r="F14" s="9">
        <f>(IF($B$3='Base Cenários'!$A$3,'Base Cenários'!F12,(IF($B$3='Base Cenários'!$A$14,'Base Cenários'!F23,'Base Cenários'!F34))))*$C$4</f>
        <v>0</v>
      </c>
      <c r="H14" s="8" t="s">
        <v>16</v>
      </c>
      <c r="I14" s="45">
        <f>IF(Renda!B25&gt;0,B14/Renda!B25,0)</f>
        <v>0</v>
      </c>
      <c r="J14" s="45">
        <f>IF(Renda!C25&gt;0,C14/Renda!C25,0)</f>
        <v>0</v>
      </c>
      <c r="K14" s="45">
        <f>IF(Renda!D25&gt;0,D14/Renda!D25,0)</f>
        <v>8.789320209936667E-7</v>
      </c>
      <c r="L14" s="45">
        <f>IF(Renda!E25&gt;0,E14/Renda!E25,0)</f>
        <v>0</v>
      </c>
      <c r="M14" s="45">
        <f>IF(Renda!F25&gt;0,F14/Renda!F25,0)</f>
        <v>0</v>
      </c>
    </row>
    <row r="15" spans="1:13" ht="12.75" thickBot="1">
      <c r="A15" s="36" t="s">
        <v>17</v>
      </c>
      <c r="B15" s="37">
        <f>SUM(B9:B14)</f>
        <v>4069040.7138747685</v>
      </c>
      <c r="C15" s="37">
        <f t="shared" ref="C15:F15" si="0">SUM(C9:C14)</f>
        <v>0</v>
      </c>
      <c r="D15" s="37">
        <f t="shared" si="0"/>
        <v>1554571.8064174957</v>
      </c>
      <c r="E15" s="37">
        <f t="shared" si="0"/>
        <v>0</v>
      </c>
      <c r="F15" s="37">
        <f t="shared" si="0"/>
        <v>7000389.1199999982</v>
      </c>
      <c r="H15" s="36" t="s">
        <v>17</v>
      </c>
      <c r="I15" s="46">
        <f>IF(B15&gt;0,B15/Renda!B26,0)</f>
        <v>2.6585508057867805E-2</v>
      </c>
      <c r="J15" s="46">
        <f>IF(C15&gt;0,C15/Renda!C26,0)</f>
        <v>0</v>
      </c>
      <c r="K15" s="46">
        <f>IF(D15&gt;0,D15/Renda!D26,0)</f>
        <v>1.1612567164859158E-4</v>
      </c>
      <c r="L15" s="46">
        <f>IF(E15&gt;0,E15/Renda!E26,0)</f>
        <v>0</v>
      </c>
      <c r="M15" s="46">
        <f>IF(F15&gt;0,F15/Renda!F26,0)</f>
        <v>2.4189621310576753E-3</v>
      </c>
    </row>
  </sheetData>
  <mergeCells count="8">
    <mergeCell ref="A1:M1"/>
    <mergeCell ref="B2:I2"/>
    <mergeCell ref="A6:F6"/>
    <mergeCell ref="H6:M6"/>
    <mergeCell ref="A7:A8"/>
    <mergeCell ref="H7:H8"/>
    <mergeCell ref="B8:F8"/>
    <mergeCell ref="I8:M8"/>
  </mergeCells>
  <dataValidations count="2">
    <dataValidation type="list" allowBlank="1" showInputMessage="1" showErrorMessage="1" sqref="B3" xr:uid="{CB4FB2C7-4BAD-41F1-B23E-A941D5B7E25D}">
      <formula1>"Cenário 1,Cenário 2,Cenário 3"</formula1>
    </dataValidation>
    <dataValidation type="list" allowBlank="1" showInputMessage="1" showErrorMessage="1" sqref="B4" xr:uid="{6DE5727A-CD80-47BE-B9A1-028CA8321BF4}">
      <formula1>"PPU 1,PPU 2,PPU 3"</formula1>
    </dataValidation>
  </dataValidations>
  <pageMargins left="0.511811024" right="0.511811024" top="0.78740157499999996" bottom="0.78740157499999996" header="0.31496062000000002" footer="0.31496062000000002"/>
  <drawing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D77AFA-1391-457A-8E83-B7042A0C4A1D}">
  <dimension ref="A1:M15"/>
  <sheetViews>
    <sheetView workbookViewId="0">
      <selection activeCell="E9" sqref="E9"/>
    </sheetView>
  </sheetViews>
  <sheetFormatPr defaultColWidth="9.125" defaultRowHeight="12"/>
  <cols>
    <col min="1" max="1" width="19.75" style="8" bestFit="1" customWidth="1"/>
    <col min="2" max="6" width="15.25" style="8" bestFit="1" customWidth="1"/>
    <col min="7" max="7" width="9.375" style="8" bestFit="1" customWidth="1"/>
    <col min="8" max="8" width="18" style="8" customWidth="1"/>
    <col min="9" max="9" width="15.875" style="42" bestFit="1" customWidth="1"/>
    <col min="10" max="10" width="16.125" style="42" bestFit="1" customWidth="1"/>
    <col min="11" max="12" width="9.125" style="8"/>
    <col min="13" max="13" width="13.625" style="8" bestFit="1" customWidth="1"/>
    <col min="14" max="16384" width="9.125" style="8"/>
  </cols>
  <sheetData>
    <row r="1" spans="1:13" ht="15.75">
      <c r="A1" s="158" t="s">
        <v>90</v>
      </c>
      <c r="B1" s="158"/>
      <c r="C1" s="158"/>
      <c r="D1" s="158"/>
      <c r="E1" s="158"/>
      <c r="F1" s="158"/>
      <c r="G1" s="158"/>
      <c r="H1" s="158"/>
      <c r="I1" s="158"/>
      <c r="J1" s="158"/>
      <c r="K1" s="158"/>
      <c r="L1" s="158"/>
      <c r="M1" s="158"/>
    </row>
    <row r="2" spans="1:13">
      <c r="A2" s="38" t="s">
        <v>34</v>
      </c>
      <c r="B2" s="157" t="s">
        <v>100</v>
      </c>
      <c r="C2" s="157"/>
      <c r="D2" s="157"/>
      <c r="E2" s="157"/>
      <c r="F2" s="157"/>
      <c r="G2" s="157"/>
      <c r="H2" s="157"/>
      <c r="I2" s="157"/>
      <c r="J2" s="39"/>
    </row>
    <row r="3" spans="1:13">
      <c r="A3" s="38" t="s">
        <v>35</v>
      </c>
      <c r="B3" s="40" t="s">
        <v>71</v>
      </c>
      <c r="C3" s="40"/>
      <c r="D3" s="40"/>
      <c r="E3" s="40"/>
      <c r="F3" s="40"/>
      <c r="G3" s="40"/>
      <c r="H3" s="40"/>
      <c r="I3" s="39"/>
      <c r="J3" s="39"/>
    </row>
    <row r="4" spans="1:13">
      <c r="A4" s="38" t="s">
        <v>99</v>
      </c>
      <c r="B4" s="40" t="s">
        <v>63</v>
      </c>
      <c r="C4" s="44">
        <f>IF(B4='Base Cenários'!I2,'Base Cenários'!J2,(IF('Cenário A.2.1'!B4='Base Cenários'!I3,'Base Cenários'!J3,'Base Cenários'!J4)))</f>
        <v>6.5949999999999995E-2</v>
      </c>
      <c r="D4" s="40" t="s">
        <v>43</v>
      </c>
      <c r="E4" s="40"/>
      <c r="F4" s="40"/>
      <c r="G4" s="40"/>
      <c r="H4" s="40"/>
      <c r="I4" s="39"/>
      <c r="J4" s="39"/>
    </row>
    <row r="5" spans="1:13" ht="12.75" thickBot="1">
      <c r="A5" s="10"/>
      <c r="B5" s="10"/>
      <c r="C5" s="10"/>
      <c r="D5" s="10"/>
      <c r="E5" s="10"/>
      <c r="F5" s="10"/>
      <c r="H5" s="10"/>
      <c r="I5" s="41"/>
      <c r="J5" s="41"/>
      <c r="K5" s="10"/>
      <c r="L5" s="10"/>
      <c r="M5" s="10"/>
    </row>
    <row r="6" spans="1:13">
      <c r="A6" s="161" t="s">
        <v>48</v>
      </c>
      <c r="B6" s="161"/>
      <c r="C6" s="161"/>
      <c r="D6" s="161"/>
      <c r="E6" s="161"/>
      <c r="F6" s="161"/>
      <c r="H6" s="161" t="s">
        <v>49</v>
      </c>
      <c r="I6" s="161"/>
      <c r="J6" s="161"/>
      <c r="K6" s="161"/>
      <c r="L6" s="161"/>
      <c r="M6" s="161"/>
    </row>
    <row r="7" spans="1:13" s="11" customFormat="1">
      <c r="A7" s="159" t="s">
        <v>47</v>
      </c>
      <c r="B7" s="35" t="s">
        <v>1</v>
      </c>
      <c r="C7" s="35" t="s">
        <v>2</v>
      </c>
      <c r="D7" s="35" t="s">
        <v>3</v>
      </c>
      <c r="E7" s="35" t="s">
        <v>4</v>
      </c>
      <c r="F7" s="35" t="s">
        <v>5</v>
      </c>
      <c r="H7" s="159" t="s">
        <v>47</v>
      </c>
      <c r="I7" s="35" t="s">
        <v>1</v>
      </c>
      <c r="J7" s="35" t="s">
        <v>2</v>
      </c>
      <c r="K7" s="35" t="s">
        <v>3</v>
      </c>
      <c r="L7" s="35" t="s">
        <v>4</v>
      </c>
      <c r="M7" s="35" t="s">
        <v>5</v>
      </c>
    </row>
    <row r="8" spans="1:13">
      <c r="A8" s="160"/>
      <c r="B8" s="155" t="s">
        <v>42</v>
      </c>
      <c r="C8" s="155"/>
      <c r="D8" s="155"/>
      <c r="E8" s="155"/>
      <c r="F8" s="155"/>
      <c r="H8" s="160"/>
      <c r="I8" s="155" t="s">
        <v>50</v>
      </c>
      <c r="J8" s="155"/>
      <c r="K8" s="155"/>
      <c r="L8" s="155"/>
      <c r="M8" s="155"/>
    </row>
    <row r="9" spans="1:13">
      <c r="A9" s="8" t="s">
        <v>11</v>
      </c>
      <c r="B9" s="9">
        <f>(IF($B$3='Base Cenários'!$A$3,'Base Cenários'!B7,(IF($B$3='Base Cenários'!$A$14,'Base Cenários'!B18,'Base Cenários'!B29))))*$C$4</f>
        <v>0</v>
      </c>
      <c r="C9" s="9">
        <f>(IF($B$3='Base Cenários'!$A$3,'Base Cenários'!C7,(IF($B$3='Base Cenários'!$A$14,'Base Cenários'!C18,'Base Cenários'!C29))))*$C$4</f>
        <v>0</v>
      </c>
      <c r="D9" s="9">
        <f>(IF($B$3='Base Cenários'!$A$3,'Base Cenários'!D7,(IF($B$3='Base Cenários'!$A$14,'Base Cenários'!D18,'Base Cenários'!D29))))*$C$4</f>
        <v>0</v>
      </c>
      <c r="E9" s="9">
        <f>(IF($B$3='Base Cenários'!$A$3,'Base Cenários'!E7,(IF($B$3='Base Cenários'!$A$14,'Base Cenários'!E18,'Base Cenários'!E29))))*$C$4</f>
        <v>0</v>
      </c>
      <c r="F9" s="9">
        <f>(IF($B$3='Base Cenários'!$A$3,'Base Cenários'!F7,(IF($B$3='Base Cenários'!$A$14,'Base Cenários'!F18,'Base Cenários'!F29))))*$C$4</f>
        <v>0</v>
      </c>
      <c r="H9" s="8" t="s">
        <v>11</v>
      </c>
      <c r="I9" s="45">
        <f>IF(Renda!B20&gt;0,B9/Renda!B20,0)</f>
        <v>0</v>
      </c>
      <c r="J9" s="45">
        <f>IF(Renda!C20&gt;0,C9/Renda!C20,0)</f>
        <v>0</v>
      </c>
      <c r="K9" s="45">
        <f>IF(Renda!D20&gt;0,D9/Renda!D20,0)</f>
        <v>0</v>
      </c>
      <c r="L9" s="45">
        <f>IF(Renda!E20&gt;0,E9/Renda!E20,0)</f>
        <v>0</v>
      </c>
      <c r="M9" s="45">
        <f>IF(Renda!F20&gt;0,F9/Renda!F20,0)</f>
        <v>0</v>
      </c>
    </row>
    <row r="10" spans="1:13">
      <c r="A10" s="8" t="s">
        <v>12</v>
      </c>
      <c r="B10" s="9">
        <f>(IF($B$3='Base Cenários'!$A$3,'Base Cenários'!B8,(IF($B$3='Base Cenários'!$A$14,'Base Cenários'!B19,'Base Cenários'!B30))))*$C$4</f>
        <v>0</v>
      </c>
      <c r="C10" s="9">
        <f>(IF($B$3='Base Cenários'!$A$3,'Base Cenários'!C8,(IF($B$3='Base Cenários'!$A$14,'Base Cenários'!C19,'Base Cenários'!C30))))*$C$4</f>
        <v>0</v>
      </c>
      <c r="D10" s="9">
        <f>(IF($B$3='Base Cenários'!$A$3,'Base Cenários'!D8,(IF($B$3='Base Cenários'!$A$14,'Base Cenários'!D19,'Base Cenários'!D30))))*$C$4</f>
        <v>0</v>
      </c>
      <c r="E10" s="9">
        <f>(IF($B$3='Base Cenários'!$A$3,'Base Cenários'!E8,(IF($B$3='Base Cenários'!$A$14,'Base Cenários'!E19,'Base Cenários'!E30))))*$C$4</f>
        <v>0</v>
      </c>
      <c r="F10" s="9">
        <f>(IF($B$3='Base Cenários'!$A$3,'Base Cenários'!F8,(IF($B$3='Base Cenários'!$A$14,'Base Cenários'!F19,'Base Cenários'!F30))))*$C$4</f>
        <v>0</v>
      </c>
      <c r="H10" s="8" t="s">
        <v>12</v>
      </c>
      <c r="I10" s="45">
        <f>IF(Renda!B21&gt;0,B10/Renda!B21,0)</f>
        <v>0</v>
      </c>
      <c r="J10" s="45">
        <f>IF(Renda!C21&gt;0,C10/Renda!C21,0)</f>
        <v>0</v>
      </c>
      <c r="K10" s="45">
        <f>IF(Renda!D21&gt;0,D10/Renda!D21,0)</f>
        <v>0</v>
      </c>
      <c r="L10" s="45">
        <f>IF(Renda!E21&gt;0,E10/Renda!E21,0)</f>
        <v>0</v>
      </c>
      <c r="M10" s="45">
        <f>IF(Renda!F21&gt;0,F10/Renda!F21,0)</f>
        <v>0</v>
      </c>
    </row>
    <row r="11" spans="1:13">
      <c r="A11" s="8" t="s">
        <v>13</v>
      </c>
      <c r="B11" s="9">
        <f>(IF($B$3='Base Cenários'!$A$3,'Base Cenários'!B9,(IF($B$3='Base Cenários'!$A$14,'Base Cenários'!B20,'Base Cenários'!B31))))*$C$4</f>
        <v>0</v>
      </c>
      <c r="C11" s="9">
        <f>(IF($B$3='Base Cenários'!$A$3,'Base Cenários'!C9,(IF($B$3='Base Cenários'!$A$14,'Base Cenários'!C20,'Base Cenários'!C31))))*$C$4</f>
        <v>0</v>
      </c>
      <c r="D11" s="9">
        <f>(IF($B$3='Base Cenários'!$A$3,'Base Cenários'!D9,(IF($B$3='Base Cenários'!$A$14,'Base Cenários'!D20,'Base Cenários'!D31))))*$C$4</f>
        <v>0</v>
      </c>
      <c r="E11" s="9">
        <f>(IF($B$3='Base Cenários'!$A$3,'Base Cenários'!E9,(IF($B$3='Base Cenários'!$A$14,'Base Cenários'!E20,'Base Cenários'!E31))))*$C$4</f>
        <v>0</v>
      </c>
      <c r="F11" s="9">
        <f>(IF($B$3='Base Cenários'!$A$3,'Base Cenários'!F9,(IF($B$3='Base Cenários'!$A$14,'Base Cenários'!F20,'Base Cenários'!F31))))*$C$4</f>
        <v>0</v>
      </c>
      <c r="H11" s="8" t="s">
        <v>13</v>
      </c>
      <c r="I11" s="45">
        <f>IF(Renda!B22&gt;0,B11/Renda!B22,0)</f>
        <v>0</v>
      </c>
      <c r="J11" s="45">
        <f>IF(Renda!C22&gt;0,C11/Renda!C22,0)</f>
        <v>0</v>
      </c>
      <c r="K11" s="45">
        <f>IF(Renda!D22&gt;0,D11/Renda!D22,0)</f>
        <v>0</v>
      </c>
      <c r="L11" s="45">
        <f>IF(Renda!E22&gt;0,E11/Renda!E22,0)</f>
        <v>0</v>
      </c>
      <c r="M11" s="45">
        <f>IF(Renda!F22&gt;0,F11/Renda!F22,0)</f>
        <v>0</v>
      </c>
    </row>
    <row r="12" spans="1:13">
      <c r="A12" s="8" t="s">
        <v>14</v>
      </c>
      <c r="B12" s="9">
        <f>(IF($B$3='Base Cenários'!$A$3,'Base Cenários'!B10,(IF($B$3='Base Cenários'!$A$14,'Base Cenários'!B21,'Base Cenários'!B32))))*$C$4</f>
        <v>1965906.4091688723</v>
      </c>
      <c r="C12" s="9">
        <f>(IF($B$3='Base Cenários'!$A$3,'Base Cenários'!C10,(IF($B$3='Base Cenários'!$A$14,'Base Cenários'!C21,'Base Cenários'!C32))))*$C$4</f>
        <v>0</v>
      </c>
      <c r="D12" s="9">
        <f>(IF($B$3='Base Cenários'!$A$3,'Base Cenários'!D10,(IF($B$3='Base Cenários'!$A$14,'Base Cenários'!D21,'Base Cenários'!D32))))*$C$4</f>
        <v>746602.54219156166</v>
      </c>
      <c r="E12" s="9">
        <f>(IF($B$3='Base Cenários'!$A$3,'Base Cenários'!E10,(IF($B$3='Base Cenários'!$A$14,'Base Cenários'!E21,'Base Cenários'!E32))))*$C$4</f>
        <v>585.00287999999989</v>
      </c>
      <c r="F12" s="9">
        <f>(IF($B$3='Base Cenários'!$A$3,'Base Cenários'!F10,(IF($B$3='Base Cenários'!$A$14,'Base Cenários'!F21,'Base Cenários'!F32))))*$C$4</f>
        <v>4387290.5401180713</v>
      </c>
      <c r="H12" s="8" t="s">
        <v>14</v>
      </c>
      <c r="I12" s="45">
        <f>IF(Renda!B23&gt;0,B12/Renda!B23,0)</f>
        <v>2.3127303863737046E-2</v>
      </c>
      <c r="J12" s="45">
        <f>IF(Renda!C23&gt;0,C12/Renda!C23,0)</f>
        <v>0</v>
      </c>
      <c r="K12" s="45">
        <f>IF(Renda!D23&gt;0,D12/Renda!D23,0)</f>
        <v>1.2180783372818201E-4</v>
      </c>
      <c r="L12" s="45">
        <f>IF(Renda!E23&gt;0,E12/Renda!E23,0)</f>
        <v>6.9985478676669538E-6</v>
      </c>
      <c r="M12" s="45">
        <f>IF(Renda!F23&gt;0,F12/Renda!F23,0)</f>
        <v>1.5160142518610726E-3</v>
      </c>
    </row>
    <row r="13" spans="1:13">
      <c r="A13" s="8" t="s">
        <v>15</v>
      </c>
      <c r="B13" s="9">
        <f>(IF($B$3='Base Cenários'!$A$3,'Base Cenários'!B11,(IF($B$3='Base Cenários'!$A$14,'Base Cenários'!B22,'Base Cenários'!B33))))*$C$4</f>
        <v>3836.3957049600008</v>
      </c>
      <c r="C13" s="9">
        <f>(IF($B$3='Base Cenários'!$A$3,'Base Cenários'!C11,(IF($B$3='Base Cenários'!$A$14,'Base Cenários'!C22,'Base Cenários'!C33))))*$C$4</f>
        <v>271084.45923839998</v>
      </c>
      <c r="D13" s="9">
        <f>(IF($B$3='Base Cenários'!$A$3,'Base Cenários'!D11,(IF($B$3='Base Cenários'!$A$14,'Base Cenários'!D22,'Base Cenários'!D33))))*$C$4</f>
        <v>0</v>
      </c>
      <c r="E13" s="9">
        <f>(IF($B$3='Base Cenários'!$A$3,'Base Cenários'!E11,(IF($B$3='Base Cenários'!$A$14,'Base Cenários'!E22,'Base Cenários'!E33))))*$C$4</f>
        <v>605.50013999999999</v>
      </c>
      <c r="F13" s="9">
        <f>(IF($B$3='Base Cenários'!$A$3,'Base Cenários'!F11,(IF($B$3='Base Cenários'!$A$14,'Base Cenários'!F22,'Base Cenários'!F33))))*$C$4</f>
        <v>0</v>
      </c>
      <c r="H13" s="8" t="s">
        <v>15</v>
      </c>
      <c r="I13" s="45">
        <f>IF(Renda!B24&gt;0,B13/Renda!B24,0)</f>
        <v>1.7296446377723599E-3</v>
      </c>
      <c r="J13" s="45">
        <f>IF(Renda!C24&gt;0,C13/Renda!C24,0)</f>
        <v>0.19853115691285397</v>
      </c>
      <c r="K13" s="45">
        <f>IF(Renda!D24&gt;0,D13/Renda!D24,0)</f>
        <v>0</v>
      </c>
      <c r="L13" s="45">
        <f>IF(Renda!E24&gt;0,E13/Renda!E24,0)</f>
        <v>4.1997216147540749E-6</v>
      </c>
      <c r="M13" s="45">
        <f>IF(Renda!F24&gt;0,F13/Renda!F24,0)</f>
        <v>0</v>
      </c>
    </row>
    <row r="14" spans="1:13">
      <c r="A14" s="8" t="s">
        <v>16</v>
      </c>
      <c r="B14" s="9">
        <f>(IF($B$3='Base Cenários'!$A$3,'Base Cenários'!B12,(IF($B$3='Base Cenários'!$A$14,'Base Cenários'!B23,'Base Cenários'!B34))))*$C$4</f>
        <v>57094.641728642971</v>
      </c>
      <c r="C14" s="9">
        <f>(IF($B$3='Base Cenários'!$A$3,'Base Cenários'!C12,(IF($B$3='Base Cenários'!$A$14,'Base Cenários'!C23,'Base Cenários'!C34))))*$C$4</f>
        <v>0</v>
      </c>
      <c r="D14" s="9">
        <f>(IF($B$3='Base Cenários'!$A$3,'Base Cenários'!D12,(IF($B$3='Base Cenários'!$A$14,'Base Cenários'!D23,'Base Cenários'!D34))))*$C$4</f>
        <v>4512.8688079999993</v>
      </c>
      <c r="E14" s="9">
        <f>(IF($B$3='Base Cenários'!$A$3,'Base Cenários'!E12,(IF($B$3='Base Cenários'!$A$14,'Base Cenários'!E23,'Base Cenários'!E34))))*$C$4</f>
        <v>792.19139999999993</v>
      </c>
      <c r="F14" s="9">
        <f>(IF($B$3='Base Cenários'!$A$3,'Base Cenários'!F12,(IF($B$3='Base Cenários'!$A$14,'Base Cenários'!F23,'Base Cenários'!F34))))*$C$4</f>
        <v>0</v>
      </c>
      <c r="H14" s="8" t="s">
        <v>16</v>
      </c>
      <c r="I14" s="45">
        <f>IF(Renda!B25&gt;0,B14/Renda!B25,0)</f>
        <v>1.1582333877670963E-3</v>
      </c>
      <c r="J14" s="45">
        <f>IF(Renda!C25&gt;0,C14/Renda!C25,0)</f>
        <v>0</v>
      </c>
      <c r="K14" s="45">
        <f>IF(Renda!D25&gt;0,D14/Renda!D25,0)</f>
        <v>9.5719404141586819E-7</v>
      </c>
      <c r="L14" s="45">
        <f>IF(Renda!E25&gt;0,E14/Renda!E25,0)</f>
        <v>5.0285622308177222E-5</v>
      </c>
      <c r="M14" s="45">
        <f>IF(Renda!F25&gt;0,F14/Renda!F25,0)</f>
        <v>0</v>
      </c>
    </row>
    <row r="15" spans="1:13" ht="12.75" thickBot="1">
      <c r="A15" s="36" t="s">
        <v>17</v>
      </c>
      <c r="B15" s="37">
        <f>SUM(B9:B14)</f>
        <v>2026837.4466024751</v>
      </c>
      <c r="C15" s="37">
        <f t="shared" ref="C15:F15" si="0">SUM(C9:C14)</f>
        <v>271084.45923839998</v>
      </c>
      <c r="D15" s="37">
        <f t="shared" si="0"/>
        <v>751115.41099956166</v>
      </c>
      <c r="E15" s="37">
        <f t="shared" si="0"/>
        <v>1982.6944199999998</v>
      </c>
      <c r="F15" s="37">
        <f t="shared" si="0"/>
        <v>4387290.5401180713</v>
      </c>
      <c r="H15" s="36" t="s">
        <v>17</v>
      </c>
      <c r="I15" s="46">
        <f>IF(B15&gt;0,B15/Renda!B26,0)</f>
        <v>1.3242556921315853E-2</v>
      </c>
      <c r="J15" s="46">
        <f>IF(C15&gt;0,C15/Renda!C26,0)</f>
        <v>0.17934765405709963</v>
      </c>
      <c r="K15" s="46">
        <f>IF(D15&gt;0,D15/Renda!D26,0)</f>
        <v>5.6107914235842768E-5</v>
      </c>
      <c r="L15" s="46">
        <f>IF(E15&gt;0,E15/Renda!E26,0)</f>
        <v>6.6805991050945362E-6</v>
      </c>
      <c r="M15" s="46">
        <f>IF(F15&gt;0,F15/Renda!F26,0)</f>
        <v>1.5160142518610726E-3</v>
      </c>
    </row>
  </sheetData>
  <mergeCells count="8">
    <mergeCell ref="A1:M1"/>
    <mergeCell ref="B2:I2"/>
    <mergeCell ref="A6:F6"/>
    <mergeCell ref="H6:M6"/>
    <mergeCell ref="A7:A8"/>
    <mergeCell ref="H7:H8"/>
    <mergeCell ref="B8:F8"/>
    <mergeCell ref="I8:M8"/>
  </mergeCells>
  <dataValidations count="2">
    <dataValidation type="list" allowBlank="1" showInputMessage="1" showErrorMessage="1" sqref="B4" xr:uid="{1D9683C3-0CE3-4421-899F-F26C2B9F3999}">
      <formula1>"PPU 1,PPU 2,PPU 3"</formula1>
    </dataValidation>
    <dataValidation type="list" allowBlank="1" showInputMessage="1" showErrorMessage="1" sqref="B3" xr:uid="{3FD8B4B3-F8B8-4447-A44A-EA8CD992A579}">
      <formula1>"Cenário 1,Cenário 2,Cenário 3"</formula1>
    </dataValidation>
  </dataValidations>
  <pageMargins left="0.511811024" right="0.511811024" top="0.78740157499999996" bottom="0.78740157499999996" header="0.31496062000000002" footer="0.31496062000000002"/>
  <drawing r:id="rId1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C29FE4-2AB8-4AB1-8D7E-BC8FD3F3D560}">
  <dimension ref="A1:M15"/>
  <sheetViews>
    <sheetView workbookViewId="0">
      <selection activeCell="A6" sqref="A6:F15"/>
    </sheetView>
  </sheetViews>
  <sheetFormatPr defaultColWidth="9.125" defaultRowHeight="12"/>
  <cols>
    <col min="1" max="1" width="19.75" style="8" bestFit="1" customWidth="1"/>
    <col min="2" max="6" width="15.25" style="8" bestFit="1" customWidth="1"/>
    <col min="7" max="7" width="9.375" style="8" bestFit="1" customWidth="1"/>
    <col min="8" max="8" width="18" style="8" customWidth="1"/>
    <col min="9" max="9" width="15.875" style="42" bestFit="1" customWidth="1"/>
    <col min="10" max="10" width="16.125" style="42" bestFit="1" customWidth="1"/>
    <col min="11" max="12" width="9.125" style="8"/>
    <col min="13" max="13" width="13.625" style="8" bestFit="1" customWidth="1"/>
    <col min="14" max="16384" width="9.125" style="8"/>
  </cols>
  <sheetData>
    <row r="1" spans="1:13" ht="15.75">
      <c r="A1" s="158" t="s">
        <v>95</v>
      </c>
      <c r="B1" s="158"/>
      <c r="C1" s="158"/>
      <c r="D1" s="158"/>
      <c r="E1" s="158"/>
      <c r="F1" s="158"/>
      <c r="G1" s="158"/>
      <c r="H1" s="158"/>
      <c r="I1" s="158"/>
      <c r="J1" s="158"/>
      <c r="K1" s="158"/>
      <c r="L1" s="158"/>
      <c r="M1" s="158"/>
    </row>
    <row r="2" spans="1:13">
      <c r="A2" s="38" t="s">
        <v>34</v>
      </c>
      <c r="B2" s="157" t="s">
        <v>100</v>
      </c>
      <c r="C2" s="157"/>
      <c r="D2" s="157"/>
      <c r="E2" s="157"/>
      <c r="F2" s="157"/>
      <c r="G2" s="157"/>
      <c r="H2" s="157"/>
      <c r="I2" s="157"/>
      <c r="J2" s="39"/>
    </row>
    <row r="3" spans="1:13">
      <c r="A3" s="38" t="s">
        <v>35</v>
      </c>
      <c r="B3" s="40" t="s">
        <v>71</v>
      </c>
      <c r="C3" s="40"/>
      <c r="D3" s="40"/>
      <c r="E3" s="40"/>
      <c r="F3" s="40"/>
      <c r="G3" s="40"/>
      <c r="H3" s="40"/>
      <c r="I3" s="39"/>
      <c r="J3" s="39"/>
    </row>
    <row r="4" spans="1:13">
      <c r="A4" s="38" t="s">
        <v>99</v>
      </c>
      <c r="B4" s="40" t="s">
        <v>64</v>
      </c>
      <c r="C4" s="44">
        <f>IF(B4='Base Cenários'!I2,'Base Cenários'!J2,(IF('Cenário A.2.2'!B4='Base Cenários'!I3,'Base Cenários'!J3,'Base Cenários'!J4)))</f>
        <v>8.405E-2</v>
      </c>
      <c r="D4" s="40" t="s">
        <v>43</v>
      </c>
      <c r="E4" s="40"/>
      <c r="F4" s="40"/>
      <c r="G4" s="40"/>
      <c r="H4" s="40"/>
      <c r="I4" s="39"/>
      <c r="J4" s="39"/>
    </row>
    <row r="5" spans="1:13" ht="12.75" thickBot="1">
      <c r="A5" s="10"/>
      <c r="B5" s="10"/>
      <c r="C5" s="10"/>
      <c r="D5" s="10"/>
      <c r="E5" s="10"/>
      <c r="F5" s="10"/>
      <c r="H5" s="10"/>
      <c r="I5" s="41"/>
      <c r="J5" s="41"/>
      <c r="K5" s="10"/>
      <c r="L5" s="10"/>
      <c r="M5" s="10"/>
    </row>
    <row r="6" spans="1:13">
      <c r="A6" s="161" t="s">
        <v>48</v>
      </c>
      <c r="B6" s="161"/>
      <c r="C6" s="161"/>
      <c r="D6" s="161"/>
      <c r="E6" s="161"/>
      <c r="F6" s="161"/>
      <c r="H6" s="161" t="s">
        <v>49</v>
      </c>
      <c r="I6" s="161"/>
      <c r="J6" s="161"/>
      <c r="K6" s="161"/>
      <c r="L6" s="161"/>
      <c r="M6" s="161"/>
    </row>
    <row r="7" spans="1:13" s="11" customFormat="1">
      <c r="A7" s="159" t="s">
        <v>47</v>
      </c>
      <c r="B7" s="35" t="s">
        <v>1</v>
      </c>
      <c r="C7" s="35" t="s">
        <v>2</v>
      </c>
      <c r="D7" s="35" t="s">
        <v>3</v>
      </c>
      <c r="E7" s="35" t="s">
        <v>4</v>
      </c>
      <c r="F7" s="35" t="s">
        <v>5</v>
      </c>
      <c r="H7" s="159" t="s">
        <v>47</v>
      </c>
      <c r="I7" s="35" t="s">
        <v>1</v>
      </c>
      <c r="J7" s="35" t="s">
        <v>2</v>
      </c>
      <c r="K7" s="35" t="s">
        <v>3</v>
      </c>
      <c r="L7" s="35" t="s">
        <v>4</v>
      </c>
      <c r="M7" s="35" t="s">
        <v>5</v>
      </c>
    </row>
    <row r="8" spans="1:13">
      <c r="A8" s="160"/>
      <c r="B8" s="155" t="s">
        <v>42</v>
      </c>
      <c r="C8" s="155"/>
      <c r="D8" s="155"/>
      <c r="E8" s="155"/>
      <c r="F8" s="155"/>
      <c r="H8" s="160"/>
      <c r="I8" s="155" t="s">
        <v>50</v>
      </c>
      <c r="J8" s="155"/>
      <c r="K8" s="155"/>
      <c r="L8" s="155"/>
      <c r="M8" s="155"/>
    </row>
    <row r="9" spans="1:13">
      <c r="A9" s="8" t="s">
        <v>11</v>
      </c>
      <c r="B9" s="9">
        <f>(IF($B$3='Base Cenários'!$A$3,'Base Cenários'!B7,(IF($B$3='Base Cenários'!$A$14,'Base Cenários'!B18,'Base Cenários'!B29))))*$C$4</f>
        <v>0</v>
      </c>
      <c r="C9" s="9">
        <f>(IF($B$3='Base Cenários'!$A$3,'Base Cenários'!C7,(IF($B$3='Base Cenários'!$A$14,'Base Cenários'!C18,'Base Cenários'!C29))))*$C$4</f>
        <v>0</v>
      </c>
      <c r="D9" s="9">
        <f>(IF($B$3='Base Cenários'!$A$3,'Base Cenários'!D7,(IF($B$3='Base Cenários'!$A$14,'Base Cenários'!D18,'Base Cenários'!D29))))*$C$4</f>
        <v>0</v>
      </c>
      <c r="E9" s="9">
        <f>(IF($B$3='Base Cenários'!$A$3,'Base Cenários'!E7,(IF($B$3='Base Cenários'!$A$14,'Base Cenários'!E18,'Base Cenários'!E29))))*$C$4</f>
        <v>0</v>
      </c>
      <c r="F9" s="9">
        <f>(IF($B$3='Base Cenários'!$A$3,'Base Cenários'!F7,(IF($B$3='Base Cenários'!$A$14,'Base Cenários'!F18,'Base Cenários'!F29))))*$C$4</f>
        <v>0</v>
      </c>
      <c r="H9" s="8" t="s">
        <v>11</v>
      </c>
      <c r="I9" s="45">
        <f>IF(Renda!B20&gt;0,B9/Renda!B20,0)</f>
        <v>0</v>
      </c>
      <c r="J9" s="45">
        <f>IF(Renda!C20&gt;0,C9/Renda!C20,0)</f>
        <v>0</v>
      </c>
      <c r="K9" s="45">
        <f>IF(Renda!D20&gt;0,D9/Renda!D20,0)</f>
        <v>0</v>
      </c>
      <c r="L9" s="45">
        <f>IF(Renda!E20&gt;0,E9/Renda!E20,0)</f>
        <v>0</v>
      </c>
      <c r="M9" s="45">
        <f>IF(Renda!F20&gt;0,F9/Renda!F20,0)</f>
        <v>0</v>
      </c>
    </row>
    <row r="10" spans="1:13">
      <c r="A10" s="8" t="s">
        <v>12</v>
      </c>
      <c r="B10" s="9">
        <f>(IF($B$3='Base Cenários'!$A$3,'Base Cenários'!B8,(IF($B$3='Base Cenários'!$A$14,'Base Cenários'!B19,'Base Cenários'!B30))))*$C$4</f>
        <v>0</v>
      </c>
      <c r="C10" s="9">
        <f>(IF($B$3='Base Cenários'!$A$3,'Base Cenários'!C8,(IF($B$3='Base Cenários'!$A$14,'Base Cenários'!C19,'Base Cenários'!C30))))*$C$4</f>
        <v>0</v>
      </c>
      <c r="D10" s="9">
        <f>(IF($B$3='Base Cenários'!$A$3,'Base Cenários'!D8,(IF($B$3='Base Cenários'!$A$14,'Base Cenários'!D19,'Base Cenários'!D30))))*$C$4</f>
        <v>0</v>
      </c>
      <c r="E10" s="9">
        <f>(IF($B$3='Base Cenários'!$A$3,'Base Cenários'!E8,(IF($B$3='Base Cenários'!$A$14,'Base Cenários'!E19,'Base Cenários'!E30))))*$C$4</f>
        <v>0</v>
      </c>
      <c r="F10" s="9">
        <f>(IF($B$3='Base Cenários'!$A$3,'Base Cenários'!F8,(IF($B$3='Base Cenários'!$A$14,'Base Cenários'!F19,'Base Cenários'!F30))))*$C$4</f>
        <v>0</v>
      </c>
      <c r="H10" s="8" t="s">
        <v>12</v>
      </c>
      <c r="I10" s="45">
        <f>IF(Renda!B21&gt;0,B10/Renda!B21,0)</f>
        <v>0</v>
      </c>
      <c r="J10" s="45">
        <f>IF(Renda!C21&gt;0,C10/Renda!C21,0)</f>
        <v>0</v>
      </c>
      <c r="K10" s="45">
        <f>IF(Renda!D21&gt;0,D10/Renda!D21,0)</f>
        <v>0</v>
      </c>
      <c r="L10" s="45">
        <f>IF(Renda!E21&gt;0,E10/Renda!E21,0)</f>
        <v>0</v>
      </c>
      <c r="M10" s="45">
        <f>IF(Renda!F21&gt;0,F10/Renda!F21,0)</f>
        <v>0</v>
      </c>
    </row>
    <row r="11" spans="1:13">
      <c r="A11" s="8" t="s">
        <v>13</v>
      </c>
      <c r="B11" s="9">
        <f>(IF($B$3='Base Cenários'!$A$3,'Base Cenários'!B9,(IF($B$3='Base Cenários'!$A$14,'Base Cenários'!B20,'Base Cenários'!B31))))*$C$4</f>
        <v>0</v>
      </c>
      <c r="C11" s="9">
        <f>(IF($B$3='Base Cenários'!$A$3,'Base Cenários'!C9,(IF($B$3='Base Cenários'!$A$14,'Base Cenários'!C20,'Base Cenários'!C31))))*$C$4</f>
        <v>0</v>
      </c>
      <c r="D11" s="9">
        <f>(IF($B$3='Base Cenários'!$A$3,'Base Cenários'!D9,(IF($B$3='Base Cenários'!$A$14,'Base Cenários'!D20,'Base Cenários'!D31))))*$C$4</f>
        <v>0</v>
      </c>
      <c r="E11" s="9">
        <f>(IF($B$3='Base Cenários'!$A$3,'Base Cenários'!E9,(IF($B$3='Base Cenários'!$A$14,'Base Cenários'!E20,'Base Cenários'!E31))))*$C$4</f>
        <v>0</v>
      </c>
      <c r="F11" s="9">
        <f>(IF($B$3='Base Cenários'!$A$3,'Base Cenários'!F9,(IF($B$3='Base Cenários'!$A$14,'Base Cenários'!F20,'Base Cenários'!F31))))*$C$4</f>
        <v>0</v>
      </c>
      <c r="H11" s="8" t="s">
        <v>13</v>
      </c>
      <c r="I11" s="45">
        <f>IF(Renda!B22&gt;0,B11/Renda!B22,0)</f>
        <v>0</v>
      </c>
      <c r="J11" s="45">
        <f>IF(Renda!C22&gt;0,C11/Renda!C22,0)</f>
        <v>0</v>
      </c>
      <c r="K11" s="45">
        <f>IF(Renda!D22&gt;0,D11/Renda!D22,0)</f>
        <v>0</v>
      </c>
      <c r="L11" s="45">
        <f>IF(Renda!E22&gt;0,E11/Renda!E22,0)</f>
        <v>0</v>
      </c>
      <c r="M11" s="45">
        <f>IF(Renda!F22&gt;0,F11/Renda!F22,0)</f>
        <v>0</v>
      </c>
    </row>
    <row r="12" spans="1:13">
      <c r="A12" s="8" t="s">
        <v>14</v>
      </c>
      <c r="B12" s="9">
        <f>(IF($B$3='Base Cenários'!$A$3,'Base Cenários'!B10,(IF($B$3='Base Cenários'!$A$14,'Base Cenários'!B21,'Base Cenários'!B32))))*$C$4</f>
        <v>2505450.093868745</v>
      </c>
      <c r="C12" s="9">
        <f>(IF($B$3='Base Cenários'!$A$3,'Base Cenários'!C10,(IF($B$3='Base Cenários'!$A$14,'Base Cenários'!C21,'Base Cenários'!C32))))*$C$4</f>
        <v>0</v>
      </c>
      <c r="D12" s="9">
        <f>(IF($B$3='Base Cenários'!$A$3,'Base Cenários'!D10,(IF($B$3='Base Cenários'!$A$14,'Base Cenários'!D21,'Base Cenários'!D32))))*$C$4</f>
        <v>951507.86461259681</v>
      </c>
      <c r="E12" s="9">
        <f>(IF($B$3='Base Cenários'!$A$3,'Base Cenários'!E10,(IF($B$3='Base Cenários'!$A$14,'Base Cenários'!E21,'Base Cenários'!E32))))*$C$4</f>
        <v>745.55711999999994</v>
      </c>
      <c r="F12" s="9">
        <f>(IF($B$3='Base Cenários'!$A$3,'Base Cenários'!F10,(IF($B$3='Base Cenários'!$A$14,'Base Cenários'!F21,'Base Cenários'!F32))))*$C$4</f>
        <v>5591383.925654646</v>
      </c>
      <c r="H12" s="8" t="s">
        <v>14</v>
      </c>
      <c r="I12" s="45">
        <f>IF(Renda!B23&gt;0,B12/Renda!B23,0)</f>
        <v>2.9474600299425304E-2</v>
      </c>
      <c r="J12" s="45">
        <f>IF(Renda!C23&gt;0,C12/Renda!C23,0)</f>
        <v>0</v>
      </c>
      <c r="K12" s="45">
        <f>IF(Renda!D23&gt;0,D12/Renda!D23,0)</f>
        <v>1.5523803525176191E-4</v>
      </c>
      <c r="L12" s="45">
        <f>IF(Renda!E23&gt;0,E12/Renda!E23,0)</f>
        <v>8.9193017176255885E-6</v>
      </c>
      <c r="M12" s="45">
        <f>IF(Renda!F23&gt;0,F12/Renda!F23,0)</f>
        <v>1.9320848804992138E-3</v>
      </c>
    </row>
    <row r="13" spans="1:13">
      <c r="A13" s="8" t="s">
        <v>15</v>
      </c>
      <c r="B13" s="9">
        <f>(IF($B$3='Base Cenários'!$A$3,'Base Cenários'!B11,(IF($B$3='Base Cenários'!$A$14,'Base Cenários'!B22,'Base Cenários'!B33))))*$C$4</f>
        <v>4889.2958150400009</v>
      </c>
      <c r="C13" s="9">
        <f>(IF($B$3='Base Cenários'!$A$3,'Base Cenários'!C11,(IF($B$3='Base Cenários'!$A$14,'Base Cenários'!C22,'Base Cenários'!C33))))*$C$4</f>
        <v>345483.68156160001</v>
      </c>
      <c r="D13" s="9">
        <f>(IF($B$3='Base Cenários'!$A$3,'Base Cenários'!D11,(IF($B$3='Base Cenários'!$A$14,'Base Cenários'!D22,'Base Cenários'!D33))))*$C$4</f>
        <v>0</v>
      </c>
      <c r="E13" s="9">
        <f>(IF($B$3='Base Cenários'!$A$3,'Base Cenários'!E11,(IF($B$3='Base Cenários'!$A$14,'Base Cenários'!E22,'Base Cenários'!E33))))*$C$4</f>
        <v>771.67986000000008</v>
      </c>
      <c r="F13" s="9">
        <f>(IF($B$3='Base Cenários'!$A$3,'Base Cenários'!F11,(IF($B$3='Base Cenários'!$A$14,'Base Cenários'!F22,'Base Cenários'!F33))))*$C$4</f>
        <v>0</v>
      </c>
      <c r="H13" s="8" t="s">
        <v>15</v>
      </c>
      <c r="I13" s="45">
        <f>IF(Renda!B24&gt;0,B13/Renda!B24,0)</f>
        <v>2.2043461987076097E-3</v>
      </c>
      <c r="J13" s="45">
        <f>IF(Renda!C24&gt;0,C13/Renda!C24,0)</f>
        <v>0.25301810065997543</v>
      </c>
      <c r="K13" s="45">
        <f>IF(Renda!D24&gt;0,D13/Renda!D24,0)</f>
        <v>0</v>
      </c>
      <c r="L13" s="45">
        <f>IF(Renda!E24&gt;0,E13/Renda!E24,0)</f>
        <v>5.352336644732071E-6</v>
      </c>
      <c r="M13" s="45">
        <f>IF(Renda!F24&gt;0,F13/Renda!F24,0)</f>
        <v>0</v>
      </c>
    </row>
    <row r="14" spans="1:13">
      <c r="A14" s="8" t="s">
        <v>16</v>
      </c>
      <c r="B14" s="9">
        <f>(IF($B$3='Base Cenários'!$A$3,'Base Cenários'!B12,(IF($B$3='Base Cenários'!$A$14,'Base Cenários'!B23,'Base Cenários'!B34))))*$C$4</f>
        <v>72764.285629908147</v>
      </c>
      <c r="C14" s="9">
        <f>(IF($B$3='Base Cenários'!$A$3,'Base Cenários'!C12,(IF($B$3='Base Cenários'!$A$14,'Base Cenários'!C23,'Base Cenários'!C34))))*$C$4</f>
        <v>0</v>
      </c>
      <c r="D14" s="9">
        <f>(IF($B$3='Base Cenários'!$A$3,'Base Cenários'!D12,(IF($B$3='Base Cenários'!$A$14,'Base Cenários'!D23,'Base Cenários'!D34))))*$C$4</f>
        <v>5751.4271920000001</v>
      </c>
      <c r="E14" s="9">
        <f>(IF($B$3='Base Cenários'!$A$3,'Base Cenários'!E12,(IF($B$3='Base Cenários'!$A$14,'Base Cenários'!E23,'Base Cenários'!E34))))*$C$4</f>
        <v>1009.6086</v>
      </c>
      <c r="F14" s="9">
        <f>(IF($B$3='Base Cenários'!$A$3,'Base Cenários'!F12,(IF($B$3='Base Cenários'!$A$14,'Base Cenários'!F23,'Base Cenários'!F34))))*$C$4</f>
        <v>0</v>
      </c>
      <c r="H14" s="8" t="s">
        <v>16</v>
      </c>
      <c r="I14" s="45">
        <f>IF(Renda!B25&gt;0,B14/Renda!B25,0)</f>
        <v>1.4761109361914246E-3</v>
      </c>
      <c r="J14" s="45">
        <f>IF(Renda!C25&gt;0,C14/Renda!C25,0)</f>
        <v>0</v>
      </c>
      <c r="K14" s="45">
        <f>IF(Renda!D25&gt;0,D14/Renda!D25,0)</f>
        <v>1.2198962726460005E-6</v>
      </c>
      <c r="L14" s="45">
        <f>IF(Renda!E25&gt;0,E14/Renda!E25,0)</f>
        <v>6.4086528506479082E-5</v>
      </c>
      <c r="M14" s="45">
        <f>IF(Renda!F25&gt;0,F14/Renda!F25,0)</f>
        <v>0</v>
      </c>
    </row>
    <row r="15" spans="1:13" ht="12.75" thickBot="1">
      <c r="A15" s="36" t="s">
        <v>17</v>
      </c>
      <c r="B15" s="37">
        <f>SUM(B9:B14)</f>
        <v>2583103.675313693</v>
      </c>
      <c r="C15" s="37">
        <f t="shared" ref="C15:F15" si="0">SUM(C9:C14)</f>
        <v>345483.68156160001</v>
      </c>
      <c r="D15" s="37">
        <f t="shared" si="0"/>
        <v>957259.29180459678</v>
      </c>
      <c r="E15" s="37">
        <f t="shared" si="0"/>
        <v>2526.8455800000002</v>
      </c>
      <c r="F15" s="37">
        <f t="shared" si="0"/>
        <v>5591383.925654646</v>
      </c>
      <c r="H15" s="36" t="s">
        <v>17</v>
      </c>
      <c r="I15" s="46">
        <f>IF(B15&gt;0,B15/Renda!B26,0)</f>
        <v>1.6876981186301706E-2</v>
      </c>
      <c r="J15" s="46">
        <f>IF(C15&gt;0,C15/Renda!C26,0)</f>
        <v>0.22856967890067059</v>
      </c>
      <c r="K15" s="46">
        <f>IF(D15&gt;0,D15/Renda!D26,0)</f>
        <v>7.1506750440069518E-5</v>
      </c>
      <c r="L15" s="46">
        <f>IF(E15&gt;0,E15/Renda!E26,0)</f>
        <v>8.5140918086913698E-6</v>
      </c>
      <c r="M15" s="46">
        <f>IF(F15&gt;0,F15/Renda!F26,0)</f>
        <v>1.9320848804992138E-3</v>
      </c>
    </row>
  </sheetData>
  <mergeCells count="8">
    <mergeCell ref="A1:M1"/>
    <mergeCell ref="B2:I2"/>
    <mergeCell ref="A6:F6"/>
    <mergeCell ref="H6:M6"/>
    <mergeCell ref="A7:A8"/>
    <mergeCell ref="H7:H8"/>
    <mergeCell ref="B8:F8"/>
    <mergeCell ref="I8:M8"/>
  </mergeCells>
  <dataValidations count="2">
    <dataValidation type="list" allowBlank="1" showInputMessage="1" showErrorMessage="1" sqref="B3" xr:uid="{2DF5C521-20C8-4C18-9CA4-10DCD7033E0E}">
      <formula1>"Cenário 1,Cenário 2,Cenário 3"</formula1>
    </dataValidation>
    <dataValidation type="list" allowBlank="1" showInputMessage="1" showErrorMessage="1" sqref="B4" xr:uid="{5F8C1AB5-4310-4E1F-B24C-16704C104C1A}">
      <formula1>"PPU 1,PPU 2,PPU 3"</formula1>
    </dataValidation>
  </dataValidations>
  <pageMargins left="0.511811024" right="0.511811024" top="0.78740157499999996" bottom="0.78740157499999996" header="0.31496062000000002" footer="0.31496062000000002"/>
  <drawing r:id="rId1"/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D14000-5D12-4F54-896A-3A8089933DAF}">
  <dimension ref="A1:M15"/>
  <sheetViews>
    <sheetView workbookViewId="0">
      <selection activeCell="B12" sqref="B12"/>
    </sheetView>
  </sheetViews>
  <sheetFormatPr defaultColWidth="9.125" defaultRowHeight="12"/>
  <cols>
    <col min="1" max="1" width="19.75" style="8" bestFit="1" customWidth="1"/>
    <col min="2" max="2" width="16.125" style="8" bestFit="1" customWidth="1"/>
    <col min="3" max="6" width="15.25" style="8" bestFit="1" customWidth="1"/>
    <col min="7" max="7" width="9.375" style="8" bestFit="1" customWidth="1"/>
    <col min="8" max="8" width="18" style="8" customWidth="1"/>
    <col min="9" max="9" width="15.875" style="42" bestFit="1" customWidth="1"/>
    <col min="10" max="10" width="16.125" style="42" bestFit="1" customWidth="1"/>
    <col min="11" max="12" width="9.125" style="8"/>
    <col min="13" max="13" width="13.625" style="8" bestFit="1" customWidth="1"/>
    <col min="14" max="16384" width="9.125" style="8"/>
  </cols>
  <sheetData>
    <row r="1" spans="1:13" ht="15.75">
      <c r="A1" s="158" t="s">
        <v>94</v>
      </c>
      <c r="B1" s="158"/>
      <c r="C1" s="158"/>
      <c r="D1" s="158"/>
      <c r="E1" s="158"/>
      <c r="F1" s="158"/>
      <c r="G1" s="158"/>
      <c r="H1" s="158"/>
      <c r="I1" s="158"/>
      <c r="J1" s="158"/>
      <c r="K1" s="158"/>
      <c r="L1" s="158"/>
      <c r="M1" s="158"/>
    </row>
    <row r="2" spans="1:13">
      <c r="A2" s="38" t="s">
        <v>34</v>
      </c>
      <c r="B2" s="157" t="s">
        <v>100</v>
      </c>
      <c r="C2" s="157"/>
      <c r="D2" s="157"/>
      <c r="E2" s="157"/>
      <c r="F2" s="157"/>
      <c r="G2" s="157"/>
      <c r="H2" s="157"/>
      <c r="I2" s="157"/>
      <c r="J2" s="39"/>
    </row>
    <row r="3" spans="1:13">
      <c r="A3" s="38" t="s">
        <v>35</v>
      </c>
      <c r="B3" s="40" t="s">
        <v>71</v>
      </c>
      <c r="C3" s="40"/>
      <c r="D3" s="40"/>
      <c r="E3" s="40"/>
      <c r="F3" s="40"/>
      <c r="G3" s="40"/>
      <c r="H3" s="40"/>
      <c r="I3" s="39"/>
      <c r="J3" s="39"/>
    </row>
    <row r="4" spans="1:13">
      <c r="A4" s="38" t="s">
        <v>99</v>
      </c>
      <c r="B4" s="40" t="s">
        <v>65</v>
      </c>
      <c r="C4" s="44">
        <f>IF(B4='Base Cenários'!I2,'Base Cenários'!J2,(IF('Cenário A.2.3'!B4='Base Cenários'!I3,'Base Cenários'!J3,'Base Cenários'!J4)))</f>
        <v>0.15</v>
      </c>
      <c r="D4" s="40" t="s">
        <v>43</v>
      </c>
      <c r="E4" s="40"/>
      <c r="F4" s="40"/>
      <c r="G4" s="40"/>
      <c r="H4" s="40"/>
      <c r="I4" s="39"/>
      <c r="J4" s="39"/>
    </row>
    <row r="5" spans="1:13" ht="12.75" thickBot="1">
      <c r="A5" s="10"/>
      <c r="B5" s="10"/>
      <c r="C5" s="10"/>
      <c r="D5" s="10"/>
      <c r="E5" s="10"/>
      <c r="F5" s="10"/>
      <c r="H5" s="10"/>
      <c r="I5" s="41"/>
      <c r="J5" s="41"/>
      <c r="K5" s="10"/>
      <c r="L5" s="10"/>
      <c r="M5" s="10"/>
    </row>
    <row r="6" spans="1:13">
      <c r="A6" s="161" t="s">
        <v>48</v>
      </c>
      <c r="B6" s="161"/>
      <c r="C6" s="161"/>
      <c r="D6" s="161"/>
      <c r="E6" s="161"/>
      <c r="F6" s="161"/>
      <c r="H6" s="161" t="s">
        <v>49</v>
      </c>
      <c r="I6" s="161"/>
      <c r="J6" s="161"/>
      <c r="K6" s="161"/>
      <c r="L6" s="161"/>
      <c r="M6" s="161"/>
    </row>
    <row r="7" spans="1:13" s="11" customFormat="1">
      <c r="A7" s="159" t="s">
        <v>47</v>
      </c>
      <c r="B7" s="35" t="s">
        <v>1</v>
      </c>
      <c r="C7" s="35" t="s">
        <v>2</v>
      </c>
      <c r="D7" s="35" t="s">
        <v>3</v>
      </c>
      <c r="E7" s="35" t="s">
        <v>4</v>
      </c>
      <c r="F7" s="35" t="s">
        <v>5</v>
      </c>
      <c r="H7" s="159" t="s">
        <v>47</v>
      </c>
      <c r="I7" s="35" t="s">
        <v>1</v>
      </c>
      <c r="J7" s="35" t="s">
        <v>2</v>
      </c>
      <c r="K7" s="35" t="s">
        <v>3</v>
      </c>
      <c r="L7" s="35" t="s">
        <v>4</v>
      </c>
      <c r="M7" s="35" t="s">
        <v>5</v>
      </c>
    </row>
    <row r="8" spans="1:13">
      <c r="A8" s="160"/>
      <c r="B8" s="155" t="s">
        <v>42</v>
      </c>
      <c r="C8" s="155"/>
      <c r="D8" s="155"/>
      <c r="E8" s="155"/>
      <c r="F8" s="155"/>
      <c r="H8" s="160"/>
      <c r="I8" s="155" t="s">
        <v>50</v>
      </c>
      <c r="J8" s="155"/>
      <c r="K8" s="155"/>
      <c r="L8" s="155"/>
      <c r="M8" s="155"/>
    </row>
    <row r="9" spans="1:13">
      <c r="A9" s="8" t="s">
        <v>11</v>
      </c>
      <c r="B9" s="162">
        <f>(IF($B$3='Base Cenários'!$A$3,'Base Cenários'!B7,(IF($B$3='Base Cenários'!$A$14,'Base Cenários'!B18,'Base Cenários'!B29))))*$C$4</f>
        <v>0</v>
      </c>
      <c r="C9" s="9">
        <f>(IF($B$3='Base Cenários'!$A$3,'Base Cenários'!C7,(IF($B$3='Base Cenários'!$A$14,'Base Cenários'!C18,'Base Cenários'!C29))))*$C$4</f>
        <v>0</v>
      </c>
      <c r="D9" s="9">
        <f>(IF($B$3='Base Cenários'!$A$3,'Base Cenários'!D7,(IF($B$3='Base Cenários'!$A$14,'Base Cenários'!D18,'Base Cenários'!D29))))*$C$4</f>
        <v>0</v>
      </c>
      <c r="E9" s="9">
        <f>(IF($B$3='Base Cenários'!$A$3,'Base Cenários'!E7,(IF($B$3='Base Cenários'!$A$14,'Base Cenários'!E18,'Base Cenários'!E29))))*$C$4</f>
        <v>0</v>
      </c>
      <c r="F9" s="9">
        <f>(IF($B$3='Base Cenários'!$A$3,'Base Cenários'!F7,(IF($B$3='Base Cenários'!$A$14,'Base Cenários'!F18,'Base Cenários'!F29))))*$C$4</f>
        <v>0</v>
      </c>
      <c r="H9" s="8" t="s">
        <v>11</v>
      </c>
      <c r="I9" s="45">
        <f>IF(Renda!B20&gt;0,B9/Renda!B20,0)</f>
        <v>0</v>
      </c>
      <c r="J9" s="45">
        <f>IF(Renda!C20&gt;0,C9/Renda!C20,0)</f>
        <v>0</v>
      </c>
      <c r="K9" s="45">
        <f>IF(Renda!D20&gt;0,D9/Renda!D20,0)</f>
        <v>0</v>
      </c>
      <c r="L9" s="45">
        <f>IF(Renda!E20&gt;0,E9/Renda!E20,0)</f>
        <v>0</v>
      </c>
      <c r="M9" s="45">
        <f>IF(Renda!F20&gt;0,F9/Renda!F20,0)</f>
        <v>0</v>
      </c>
    </row>
    <row r="10" spans="1:13">
      <c r="A10" s="8" t="s">
        <v>12</v>
      </c>
      <c r="B10" s="162">
        <f>(IF($B$3='Base Cenários'!$A$3,'Base Cenários'!B8,(IF($B$3='Base Cenários'!$A$14,'Base Cenários'!B19,'Base Cenários'!B30))))*$C$4</f>
        <v>0</v>
      </c>
      <c r="C10" s="9">
        <f>(IF($B$3='Base Cenários'!$A$3,'Base Cenários'!C8,(IF($B$3='Base Cenários'!$A$14,'Base Cenários'!C19,'Base Cenários'!C30))))*$C$4</f>
        <v>0</v>
      </c>
      <c r="D10" s="9">
        <f>(IF($B$3='Base Cenários'!$A$3,'Base Cenários'!D8,(IF($B$3='Base Cenários'!$A$14,'Base Cenários'!D19,'Base Cenários'!D30))))*$C$4</f>
        <v>0</v>
      </c>
      <c r="E10" s="9">
        <f>(IF($B$3='Base Cenários'!$A$3,'Base Cenários'!E8,(IF($B$3='Base Cenários'!$A$14,'Base Cenários'!E19,'Base Cenários'!E30))))*$C$4</f>
        <v>0</v>
      </c>
      <c r="F10" s="9">
        <f>(IF($B$3='Base Cenários'!$A$3,'Base Cenários'!F8,(IF($B$3='Base Cenários'!$A$14,'Base Cenários'!F19,'Base Cenários'!F30))))*$C$4</f>
        <v>0</v>
      </c>
      <c r="H10" s="8" t="s">
        <v>12</v>
      </c>
      <c r="I10" s="45">
        <f>IF(Renda!B21&gt;0,B10/Renda!B21,0)</f>
        <v>0</v>
      </c>
      <c r="J10" s="45">
        <f>IF(Renda!C21&gt;0,C10/Renda!C21,0)</f>
        <v>0</v>
      </c>
      <c r="K10" s="45">
        <f>IF(Renda!D21&gt;0,D10/Renda!D21,0)</f>
        <v>0</v>
      </c>
      <c r="L10" s="45">
        <f>IF(Renda!E21&gt;0,E10/Renda!E21,0)</f>
        <v>0</v>
      </c>
      <c r="M10" s="45">
        <f>IF(Renda!F21&gt;0,F10/Renda!F21,0)</f>
        <v>0</v>
      </c>
    </row>
    <row r="11" spans="1:13">
      <c r="A11" s="8" t="s">
        <v>13</v>
      </c>
      <c r="B11" s="162">
        <f>(IF($B$3='Base Cenários'!$A$3,'Base Cenários'!B9,(IF($B$3='Base Cenários'!$A$14,'Base Cenários'!B20,'Base Cenários'!B31))))*$C$4</f>
        <v>0</v>
      </c>
      <c r="C11" s="9">
        <f>(IF($B$3='Base Cenários'!$A$3,'Base Cenários'!C9,(IF($B$3='Base Cenários'!$A$14,'Base Cenários'!C20,'Base Cenários'!C31))))*$C$4</f>
        <v>0</v>
      </c>
      <c r="D11" s="9">
        <f>(IF($B$3='Base Cenários'!$A$3,'Base Cenários'!D9,(IF($B$3='Base Cenários'!$A$14,'Base Cenários'!D20,'Base Cenários'!D31))))*$C$4</f>
        <v>0</v>
      </c>
      <c r="E11" s="9">
        <f>(IF($B$3='Base Cenários'!$A$3,'Base Cenários'!E9,(IF($B$3='Base Cenários'!$A$14,'Base Cenários'!E20,'Base Cenários'!E31))))*$C$4</f>
        <v>0</v>
      </c>
      <c r="F11" s="9">
        <f>(IF($B$3='Base Cenários'!$A$3,'Base Cenários'!F9,(IF($B$3='Base Cenários'!$A$14,'Base Cenários'!F20,'Base Cenários'!F31))))*$C$4</f>
        <v>0</v>
      </c>
      <c r="H11" s="8" t="s">
        <v>13</v>
      </c>
      <c r="I11" s="45">
        <f>IF(Renda!B22&gt;0,B11/Renda!B22,0)</f>
        <v>0</v>
      </c>
      <c r="J11" s="45">
        <f>IF(Renda!C22&gt;0,C11/Renda!C22,0)</f>
        <v>0</v>
      </c>
      <c r="K11" s="45">
        <f>IF(Renda!D22&gt;0,D11/Renda!D22,0)</f>
        <v>0</v>
      </c>
      <c r="L11" s="45">
        <f>IF(Renda!E22&gt;0,E11/Renda!E22,0)</f>
        <v>0</v>
      </c>
      <c r="M11" s="45">
        <f>IF(Renda!F22&gt;0,F11/Renda!F22,0)</f>
        <v>0</v>
      </c>
    </row>
    <row r="12" spans="1:13">
      <c r="A12" s="8" t="s">
        <v>14</v>
      </c>
      <c r="B12" s="162">
        <f>(IF($B$3='Base Cenários'!$A$3,'Base Cenários'!B10,(IF($B$3='Base Cenários'!$A$14,'Base Cenários'!B21,'Base Cenários'!B32))))*$C$4</f>
        <v>4471356.5030376166</v>
      </c>
      <c r="C12" s="9">
        <f>(IF($B$3='Base Cenários'!$A$3,'Base Cenários'!C10,(IF($B$3='Base Cenários'!$A$14,'Base Cenários'!C21,'Base Cenários'!C32))))*$C$4</f>
        <v>0</v>
      </c>
      <c r="D12" s="9">
        <f>(IF($B$3='Base Cenários'!$A$3,'Base Cenários'!D10,(IF($B$3='Base Cenários'!$A$14,'Base Cenários'!D21,'Base Cenários'!D32))))*$C$4</f>
        <v>1698110.4068041586</v>
      </c>
      <c r="E12" s="9">
        <f>(IF($B$3='Base Cenários'!$A$3,'Base Cenários'!E10,(IF($B$3='Base Cenários'!$A$14,'Base Cenários'!E21,'Base Cenários'!E32))))*$C$4</f>
        <v>1330.56</v>
      </c>
      <c r="F12" s="9">
        <f>(IF($B$3='Base Cenários'!$A$3,'Base Cenários'!F10,(IF($B$3='Base Cenários'!$A$14,'Base Cenários'!F21,'Base Cenários'!F32))))*$C$4</f>
        <v>9978674.4657727182</v>
      </c>
      <c r="H12" s="8" t="s">
        <v>14</v>
      </c>
      <c r="I12" s="45">
        <f>IF(Renda!B23&gt;0,B12/Renda!B23,0)</f>
        <v>5.2601904163162343E-2</v>
      </c>
      <c r="J12" s="45">
        <f>IF(Renda!C23&gt;0,C12/Renda!C23,0)</f>
        <v>0</v>
      </c>
      <c r="K12" s="45">
        <f>IF(Renda!D23&gt;0,D12/Renda!D23,0)</f>
        <v>2.7704586897994395E-4</v>
      </c>
      <c r="L12" s="45">
        <f>IF(Renda!E23&gt;0,E12/Renda!E23,0)</f>
        <v>1.5917849585292542E-5</v>
      </c>
      <c r="M12" s="45">
        <f>IF(Renda!F23&gt;0,F12/Renda!F23,0)</f>
        <v>3.4480991323602864E-3</v>
      </c>
    </row>
    <row r="13" spans="1:13">
      <c r="A13" s="8" t="s">
        <v>15</v>
      </c>
      <c r="B13" s="162">
        <f>(IF($B$3='Base Cenários'!$A$3,'Base Cenários'!B11,(IF($B$3='Base Cenários'!$A$14,'Base Cenários'!B22,'Base Cenários'!B33))))*$C$4</f>
        <v>8725.6915200000021</v>
      </c>
      <c r="C13" s="9">
        <f>(IF($B$3='Base Cenários'!$A$3,'Base Cenários'!C11,(IF($B$3='Base Cenários'!$A$14,'Base Cenários'!C22,'Base Cenários'!C33))))*$C$4</f>
        <v>616568.14080000005</v>
      </c>
      <c r="D13" s="9">
        <f>(IF($B$3='Base Cenários'!$A$3,'Base Cenários'!D11,(IF($B$3='Base Cenários'!$A$14,'Base Cenários'!D22,'Base Cenários'!D33))))*$C$4</f>
        <v>0</v>
      </c>
      <c r="E13" s="9">
        <f>(IF($B$3='Base Cenários'!$A$3,'Base Cenários'!E11,(IF($B$3='Base Cenários'!$A$14,'Base Cenários'!E22,'Base Cenários'!E33))))*$C$4</f>
        <v>1377.18</v>
      </c>
      <c r="F13" s="9">
        <f>(IF($B$3='Base Cenários'!$A$3,'Base Cenários'!F11,(IF($B$3='Base Cenários'!$A$14,'Base Cenários'!F22,'Base Cenários'!F33))))*$C$4</f>
        <v>0</v>
      </c>
      <c r="H13" s="8" t="s">
        <v>15</v>
      </c>
      <c r="I13" s="45">
        <f>IF(Renda!B24&gt;0,B13/Renda!B24,0)</f>
        <v>3.9339908364799695E-3</v>
      </c>
      <c r="J13" s="45">
        <f>IF(Renda!C24&gt;0,C13/Renda!C24,0)</f>
        <v>0.45154925757282943</v>
      </c>
      <c r="K13" s="45">
        <f>IF(Renda!D24&gt;0,D13/Renda!D24,0)</f>
        <v>0</v>
      </c>
      <c r="L13" s="45">
        <f>IF(Renda!E24&gt;0,E13/Renda!E24,0)</f>
        <v>9.552058259486146E-6</v>
      </c>
      <c r="M13" s="45">
        <f>IF(Renda!F24&gt;0,F13/Renda!F24,0)</f>
        <v>0</v>
      </c>
    </row>
    <row r="14" spans="1:13">
      <c r="A14" s="8" t="s">
        <v>16</v>
      </c>
      <c r="B14" s="162">
        <f>(IF($B$3='Base Cenários'!$A$3,'Base Cenários'!B12,(IF($B$3='Base Cenários'!$A$14,'Base Cenários'!B23,'Base Cenários'!B34))))*$C$4</f>
        <v>129858.92735855113</v>
      </c>
      <c r="C14" s="9">
        <f>(IF($B$3='Base Cenários'!$A$3,'Base Cenários'!C12,(IF($B$3='Base Cenários'!$A$14,'Base Cenários'!C23,'Base Cenários'!C34))))*$C$4</f>
        <v>0</v>
      </c>
      <c r="D14" s="9">
        <f>(IF($B$3='Base Cenários'!$A$3,'Base Cenários'!D12,(IF($B$3='Base Cenários'!$A$14,'Base Cenários'!D23,'Base Cenários'!D34))))*$C$4</f>
        <v>10264.296</v>
      </c>
      <c r="E14" s="9">
        <f>(IF($B$3='Base Cenários'!$A$3,'Base Cenários'!E12,(IF($B$3='Base Cenários'!$A$14,'Base Cenários'!E23,'Base Cenários'!E34))))*$C$4</f>
        <v>1801.8</v>
      </c>
      <c r="F14" s="9">
        <f>(IF($B$3='Base Cenários'!$A$3,'Base Cenários'!F12,(IF($B$3='Base Cenários'!$A$14,'Base Cenários'!F23,'Base Cenários'!F34))))*$C$4</f>
        <v>0</v>
      </c>
      <c r="H14" s="8" t="s">
        <v>16</v>
      </c>
      <c r="I14" s="45">
        <f>IF(Renda!B25&gt;0,B14/Renda!B25,0)</f>
        <v>2.6343443239585209E-3</v>
      </c>
      <c r="J14" s="45">
        <f>IF(Renda!C25&gt;0,C14/Renda!C25,0)</f>
        <v>0</v>
      </c>
      <c r="K14" s="45">
        <f>IF(Renda!D25&gt;0,D14/Renda!D25,0)</f>
        <v>2.1770903140618691E-6</v>
      </c>
      <c r="L14" s="45">
        <f>IF(Renda!E25&gt;0,E14/Renda!E25,0)</f>
        <v>1.143721508146563E-4</v>
      </c>
      <c r="M14" s="45">
        <f>IF(Renda!F25&gt;0,F14/Renda!F25,0)</f>
        <v>0</v>
      </c>
    </row>
    <row r="15" spans="1:13" ht="12.75" thickBot="1">
      <c r="A15" s="36" t="s">
        <v>17</v>
      </c>
      <c r="B15" s="37">
        <f>SUM(B9:B14)</f>
        <v>4609941.1219161674</v>
      </c>
      <c r="C15" s="37">
        <f t="shared" ref="C15:F15" si="0">SUM(C9:C14)</f>
        <v>616568.14080000005</v>
      </c>
      <c r="D15" s="37">
        <f t="shared" si="0"/>
        <v>1708374.7028041587</v>
      </c>
      <c r="E15" s="37">
        <f t="shared" si="0"/>
        <v>4509.54</v>
      </c>
      <c r="F15" s="37">
        <f t="shared" si="0"/>
        <v>9978674.4657727182</v>
      </c>
      <c r="H15" s="36" t="s">
        <v>17</v>
      </c>
      <c r="I15" s="46">
        <f>IF(B15&gt;0,B15/Renda!B26,0)</f>
        <v>3.0119538107617555E-2</v>
      </c>
      <c r="J15" s="46">
        <f>IF(C15&gt;0,C15/Renda!C26,0)</f>
        <v>0.40791733295777027</v>
      </c>
      <c r="K15" s="46">
        <f>IF(D15&gt;0,D15/Renda!D26,0)</f>
        <v>1.2761466467591231E-4</v>
      </c>
      <c r="L15" s="46">
        <f>IF(E15&gt;0,E15/Renda!E26,0)</f>
        <v>1.5194690913785908E-5</v>
      </c>
      <c r="M15" s="46">
        <f>IF(F15&gt;0,F15/Renda!F26,0)</f>
        <v>3.4480991323602864E-3</v>
      </c>
    </row>
  </sheetData>
  <mergeCells count="8">
    <mergeCell ref="A1:M1"/>
    <mergeCell ref="B2:I2"/>
    <mergeCell ref="A6:F6"/>
    <mergeCell ref="H6:M6"/>
    <mergeCell ref="A7:A8"/>
    <mergeCell ref="H7:H8"/>
    <mergeCell ref="B8:F8"/>
    <mergeCell ref="I8:M8"/>
  </mergeCells>
  <dataValidations count="2">
    <dataValidation type="list" allowBlank="1" showInputMessage="1" showErrorMessage="1" sqref="B3" xr:uid="{8AFCDC14-B336-4B44-8B0C-AA7B9A590198}">
      <formula1>"Cenário 1,Cenário 2,Cenário 3"</formula1>
    </dataValidation>
    <dataValidation type="list" allowBlank="1" showInputMessage="1" showErrorMessage="1" sqref="B4" xr:uid="{E9773EAF-412C-4682-B850-2B08AC13352D}">
      <formula1>"PPU 1,PPU 2,PPU 3"</formula1>
    </dataValidation>
  </dataValidations>
  <pageMargins left="0.511811024" right="0.511811024" top="0.78740157499999996" bottom="0.78740157499999996" header="0.31496062000000002" footer="0.31496062000000002"/>
  <drawing r:id="rId1"/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D267E8-5DD0-468C-88E7-037B6A1FFED4}">
  <dimension ref="A1:M15"/>
  <sheetViews>
    <sheetView workbookViewId="0">
      <selection activeCell="A6" sqref="A6:F15"/>
    </sheetView>
  </sheetViews>
  <sheetFormatPr defaultColWidth="9.125" defaultRowHeight="12"/>
  <cols>
    <col min="1" max="1" width="19.75" style="8" bestFit="1" customWidth="1"/>
    <col min="2" max="6" width="15.25" style="8" bestFit="1" customWidth="1"/>
    <col min="7" max="7" width="9.375" style="8" bestFit="1" customWidth="1"/>
    <col min="8" max="8" width="18" style="8" customWidth="1"/>
    <col min="9" max="9" width="15.875" style="42" bestFit="1" customWidth="1"/>
    <col min="10" max="10" width="16.125" style="42" bestFit="1" customWidth="1"/>
    <col min="11" max="12" width="9.125" style="8"/>
    <col min="13" max="13" width="13.625" style="8" bestFit="1" customWidth="1"/>
    <col min="14" max="16384" width="9.125" style="8"/>
  </cols>
  <sheetData>
    <row r="1" spans="1:13" ht="15.75">
      <c r="A1" s="158" t="s">
        <v>93</v>
      </c>
      <c r="B1" s="158"/>
      <c r="C1" s="158"/>
      <c r="D1" s="158"/>
      <c r="E1" s="158"/>
      <c r="F1" s="158"/>
      <c r="G1" s="158"/>
      <c r="H1" s="158"/>
      <c r="I1" s="158"/>
      <c r="J1" s="158"/>
      <c r="K1" s="158"/>
      <c r="L1" s="158"/>
      <c r="M1" s="158"/>
    </row>
    <row r="2" spans="1:13">
      <c r="A2" s="38" t="s">
        <v>34</v>
      </c>
      <c r="B2" s="157" t="s">
        <v>100</v>
      </c>
      <c r="C2" s="157"/>
      <c r="D2" s="157"/>
      <c r="E2" s="157"/>
      <c r="F2" s="157"/>
      <c r="G2" s="157"/>
      <c r="H2" s="157"/>
      <c r="I2" s="157"/>
      <c r="J2" s="39"/>
    </row>
    <row r="3" spans="1:13">
      <c r="A3" s="38" t="s">
        <v>35</v>
      </c>
      <c r="B3" s="40" t="s">
        <v>76</v>
      </c>
      <c r="C3" s="40"/>
      <c r="D3" s="40"/>
      <c r="E3" s="40"/>
      <c r="F3" s="40"/>
      <c r="G3" s="40"/>
      <c r="H3" s="40"/>
      <c r="I3" s="39"/>
      <c r="J3" s="39"/>
    </row>
    <row r="4" spans="1:13">
      <c r="A4" s="38" t="s">
        <v>99</v>
      </c>
      <c r="B4" s="40" t="s">
        <v>63</v>
      </c>
      <c r="C4" s="44">
        <f>IF(B4='Base Cenários'!I2,'Base Cenários'!J2,(IF('Cenário A.3.1'!B4='Base Cenários'!I3,'Base Cenários'!J3,'Base Cenários'!J4)))</f>
        <v>6.5949999999999995E-2</v>
      </c>
      <c r="D4" s="40" t="s">
        <v>43</v>
      </c>
      <c r="E4" s="40"/>
      <c r="F4" s="40"/>
      <c r="G4" s="40"/>
      <c r="H4" s="40"/>
      <c r="I4" s="39"/>
      <c r="J4" s="39"/>
    </row>
    <row r="5" spans="1:13" ht="12.75" thickBot="1">
      <c r="A5" s="10"/>
      <c r="B5" s="10"/>
      <c r="C5" s="10"/>
      <c r="D5" s="10"/>
      <c r="E5" s="10"/>
      <c r="F5" s="10"/>
      <c r="H5" s="10"/>
      <c r="I5" s="41"/>
      <c r="J5" s="41"/>
      <c r="K5" s="10"/>
      <c r="L5" s="10"/>
      <c r="M5" s="10"/>
    </row>
    <row r="6" spans="1:13">
      <c r="A6" s="161" t="s">
        <v>48</v>
      </c>
      <c r="B6" s="161"/>
      <c r="C6" s="161"/>
      <c r="D6" s="161"/>
      <c r="E6" s="161"/>
      <c r="F6" s="161"/>
      <c r="H6" s="161" t="s">
        <v>49</v>
      </c>
      <c r="I6" s="161"/>
      <c r="J6" s="161"/>
      <c r="K6" s="161"/>
      <c r="L6" s="161"/>
      <c r="M6" s="161"/>
    </row>
    <row r="7" spans="1:13" s="11" customFormat="1">
      <c r="A7" s="159" t="s">
        <v>47</v>
      </c>
      <c r="B7" s="35" t="s">
        <v>1</v>
      </c>
      <c r="C7" s="35" t="s">
        <v>2</v>
      </c>
      <c r="D7" s="35" t="s">
        <v>3</v>
      </c>
      <c r="E7" s="35" t="s">
        <v>4</v>
      </c>
      <c r="F7" s="35" t="s">
        <v>5</v>
      </c>
      <c r="H7" s="159" t="s">
        <v>47</v>
      </c>
      <c r="I7" s="35" t="s">
        <v>1</v>
      </c>
      <c r="J7" s="35" t="s">
        <v>2</v>
      </c>
      <c r="K7" s="35" t="s">
        <v>3</v>
      </c>
      <c r="L7" s="35" t="s">
        <v>4</v>
      </c>
      <c r="M7" s="35" t="s">
        <v>5</v>
      </c>
    </row>
    <row r="8" spans="1:13">
      <c r="A8" s="160"/>
      <c r="B8" s="155" t="s">
        <v>42</v>
      </c>
      <c r="C8" s="155"/>
      <c r="D8" s="155"/>
      <c r="E8" s="155"/>
      <c r="F8" s="155"/>
      <c r="H8" s="160"/>
      <c r="I8" s="155" t="s">
        <v>50</v>
      </c>
      <c r="J8" s="155"/>
      <c r="K8" s="155"/>
      <c r="L8" s="155"/>
      <c r="M8" s="155"/>
    </row>
    <row r="9" spans="1:13">
      <c r="A9" s="8" t="s">
        <v>11</v>
      </c>
      <c r="B9" s="9">
        <f>(IF($B$3='Base Cenários'!$A$3,'Base Cenários'!B7,(IF($B$3='Base Cenários'!$A$14,'Base Cenários'!B18,'Base Cenários'!B29))))*$C$4</f>
        <v>0</v>
      </c>
      <c r="C9" s="9">
        <f>(IF($B$3='Base Cenários'!$A$3,'Base Cenários'!C7,(IF($B$3='Base Cenários'!$A$14,'Base Cenários'!C18,'Base Cenários'!C29))))*$C$4</f>
        <v>0</v>
      </c>
      <c r="D9" s="9">
        <f>(IF($B$3='Base Cenários'!$A$3,'Base Cenários'!D7,(IF($B$3='Base Cenários'!$A$14,'Base Cenários'!D18,'Base Cenários'!D29))))*$C$4</f>
        <v>0</v>
      </c>
      <c r="E9" s="9">
        <f>(IF($B$3='Base Cenários'!$A$3,'Base Cenários'!E7,(IF($B$3='Base Cenários'!$A$14,'Base Cenários'!E18,'Base Cenários'!E29))))*$C$4</f>
        <v>2911.7188799999999</v>
      </c>
      <c r="F9" s="9">
        <f>(IF($B$3='Base Cenários'!$A$3,'Base Cenários'!F7,(IF($B$3='Base Cenários'!$A$14,'Base Cenários'!F18,'Base Cenários'!F29))))*$C$4</f>
        <v>0</v>
      </c>
      <c r="H9" s="8" t="s">
        <v>11</v>
      </c>
      <c r="I9" s="45">
        <f>IF(Renda!B20&gt;0,B9/Renda!B20,0)</f>
        <v>0</v>
      </c>
      <c r="J9" s="45">
        <f>IF(Renda!C20&gt;0,C9/Renda!C20,0)</f>
        <v>0</v>
      </c>
      <c r="K9" s="45">
        <f>IF(Renda!D20&gt;0,D9/Renda!D20,0)</f>
        <v>0</v>
      </c>
      <c r="L9" s="45">
        <f>IF(Renda!E20&gt;0,E9/Renda!E20,0)</f>
        <v>1.9722721269741284E-4</v>
      </c>
      <c r="M9" s="45">
        <f>IF(Renda!F20&gt;0,F9/Renda!F20,0)</f>
        <v>0</v>
      </c>
    </row>
    <row r="10" spans="1:13">
      <c r="A10" s="8" t="s">
        <v>12</v>
      </c>
      <c r="B10" s="9">
        <f>(IF($B$3='Base Cenários'!$A$3,'Base Cenários'!B8,(IF($B$3='Base Cenários'!$A$14,'Base Cenários'!B19,'Base Cenários'!B30))))*$C$4</f>
        <v>0</v>
      </c>
      <c r="C10" s="9">
        <f>(IF($B$3='Base Cenários'!$A$3,'Base Cenários'!C8,(IF($B$3='Base Cenários'!$A$14,'Base Cenários'!C19,'Base Cenários'!C30))))*$C$4</f>
        <v>0</v>
      </c>
      <c r="D10" s="9">
        <f>(IF($B$3='Base Cenários'!$A$3,'Base Cenários'!D8,(IF($B$3='Base Cenários'!$A$14,'Base Cenários'!D19,'Base Cenários'!D30))))*$C$4</f>
        <v>0</v>
      </c>
      <c r="E10" s="9">
        <f>(IF($B$3='Base Cenários'!$A$3,'Base Cenários'!E8,(IF($B$3='Base Cenários'!$A$14,'Base Cenários'!E19,'Base Cenários'!E30))))*$C$4</f>
        <v>2911.7188799999999</v>
      </c>
      <c r="F10" s="9">
        <f>(IF($B$3='Base Cenários'!$A$3,'Base Cenários'!F8,(IF($B$3='Base Cenários'!$A$14,'Base Cenários'!F19,'Base Cenários'!F30))))*$C$4</f>
        <v>0</v>
      </c>
      <c r="H10" s="8" t="s">
        <v>12</v>
      </c>
      <c r="I10" s="45">
        <f>IF(Renda!B21&gt;0,B10/Renda!B21,0)</f>
        <v>0</v>
      </c>
      <c r="J10" s="45">
        <f>IF(Renda!C21&gt;0,C10/Renda!C21,0)</f>
        <v>0</v>
      </c>
      <c r="K10" s="45">
        <f>IF(Renda!D21&gt;0,D10/Renda!D21,0)</f>
        <v>0</v>
      </c>
      <c r="L10" s="45">
        <f>IF(Renda!E21&gt;0,E10/Renda!E21,0)</f>
        <v>1.9517870689003561E-4</v>
      </c>
      <c r="M10" s="45">
        <f>IF(Renda!F21&gt;0,F10/Renda!F21,0)</f>
        <v>0</v>
      </c>
    </row>
    <row r="11" spans="1:13">
      <c r="A11" s="8" t="s">
        <v>13</v>
      </c>
      <c r="B11" s="9">
        <f>(IF($B$3='Base Cenários'!$A$3,'Base Cenários'!B9,(IF($B$3='Base Cenários'!$A$14,'Base Cenários'!B20,'Base Cenários'!B31))))*$C$4</f>
        <v>0</v>
      </c>
      <c r="C11" s="9">
        <f>(IF($B$3='Base Cenários'!$A$3,'Base Cenários'!C9,(IF($B$3='Base Cenários'!$A$14,'Base Cenários'!C20,'Base Cenários'!C31))))*$C$4</f>
        <v>0</v>
      </c>
      <c r="D11" s="9">
        <f>(IF($B$3='Base Cenários'!$A$3,'Base Cenários'!D9,(IF($B$3='Base Cenários'!$A$14,'Base Cenários'!D20,'Base Cenários'!D31))))*$C$4</f>
        <v>0</v>
      </c>
      <c r="E11" s="9">
        <f>(IF($B$3='Base Cenários'!$A$3,'Base Cenários'!E9,(IF($B$3='Base Cenários'!$A$14,'Base Cenários'!E20,'Base Cenários'!E31))))*$C$4</f>
        <v>23293.751039999999</v>
      </c>
      <c r="F11" s="9">
        <f>(IF($B$3='Base Cenários'!$A$3,'Base Cenários'!F9,(IF($B$3='Base Cenários'!$A$14,'Base Cenários'!F20,'Base Cenários'!F31))))*$C$4</f>
        <v>0</v>
      </c>
      <c r="H11" s="8" t="s">
        <v>13</v>
      </c>
      <c r="I11" s="45">
        <f>IF(Renda!B22&gt;0,B11/Renda!B22,0)</f>
        <v>0</v>
      </c>
      <c r="J11" s="45">
        <f>IF(Renda!C22&gt;0,C11/Renda!C22,0)</f>
        <v>0</v>
      </c>
      <c r="K11" s="45">
        <f>IF(Renda!D22&gt;0,D11/Renda!D22,0)</f>
        <v>0</v>
      </c>
      <c r="L11" s="45">
        <f>IF(Renda!E22&gt;0,E11/Renda!E22,0)</f>
        <v>9.8772809843093289E-4</v>
      </c>
      <c r="M11" s="45">
        <f>IF(Renda!F22&gt;0,F11/Renda!F22,0)</f>
        <v>0</v>
      </c>
    </row>
    <row r="12" spans="1:13">
      <c r="A12" s="8" t="s">
        <v>14</v>
      </c>
      <c r="B12" s="9">
        <f>(IF($B$3='Base Cenários'!$A$3,'Base Cenários'!B10,(IF($B$3='Base Cenários'!$A$14,'Base Cenários'!B21,'Base Cenários'!B32))))*$C$4</f>
        <v>1965906.4091688723</v>
      </c>
      <c r="C12" s="9">
        <f>(IF($B$3='Base Cenários'!$A$3,'Base Cenários'!C10,(IF($B$3='Base Cenários'!$A$14,'Base Cenários'!C21,'Base Cenários'!C32))))*$C$4</f>
        <v>0</v>
      </c>
      <c r="D12" s="9">
        <f>(IF($B$3='Base Cenários'!$A$3,'Base Cenários'!D10,(IF($B$3='Base Cenários'!$A$14,'Base Cenários'!D21,'Base Cenários'!D32))))*$C$4</f>
        <v>1481367.7612281598</v>
      </c>
      <c r="E12" s="9">
        <f>(IF($B$3='Base Cenários'!$A$3,'Base Cenários'!E10,(IF($B$3='Base Cenários'!$A$14,'Base Cenários'!E21,'Base Cenários'!E32))))*$C$4</f>
        <v>40764.064320000005</v>
      </c>
      <c r="F12" s="9">
        <f>(IF($B$3='Base Cenários'!$A$3,'Base Cenários'!F10,(IF($B$3='Base Cenários'!$A$14,'Base Cenários'!F21,'Base Cenários'!F32))))*$C$4</f>
        <v>4387290.5401180713</v>
      </c>
      <c r="H12" s="8" t="s">
        <v>14</v>
      </c>
      <c r="I12" s="45">
        <f>IF(Renda!B23&gt;0,B12/Renda!B23,0)</f>
        <v>2.3127303863737046E-2</v>
      </c>
      <c r="J12" s="45">
        <f>IF(Renda!C23&gt;0,C12/Renda!C23,0)</f>
        <v>0</v>
      </c>
      <c r="K12" s="45">
        <f>IF(Renda!D23&gt;0,D12/Renda!D23,0)</f>
        <v>2.4168441406628835E-4</v>
      </c>
      <c r="L12" s="45">
        <f>IF(Renda!E23&gt;0,E12/Renda!E23,0)</f>
        <v>4.8767154005152017E-4</v>
      </c>
      <c r="M12" s="45">
        <f>IF(Renda!F23&gt;0,F12/Renda!F23,0)</f>
        <v>1.5160142518610726E-3</v>
      </c>
    </row>
    <row r="13" spans="1:13">
      <c r="A13" s="8" t="s">
        <v>15</v>
      </c>
      <c r="B13" s="9">
        <f>(IF($B$3='Base Cenários'!$A$3,'Base Cenários'!B11,(IF($B$3='Base Cenários'!$A$14,'Base Cenários'!B22,'Base Cenários'!B33))))*$C$4</f>
        <v>3836.3957049600008</v>
      </c>
      <c r="C13" s="9">
        <f>(IF($B$3='Base Cenários'!$A$3,'Base Cenários'!C11,(IF($B$3='Base Cenários'!$A$14,'Base Cenários'!C22,'Base Cenários'!C33))))*$C$4</f>
        <v>271084.45923839998</v>
      </c>
      <c r="D13" s="9">
        <f>(IF($B$3='Base Cenários'!$A$3,'Base Cenários'!D11,(IF($B$3='Base Cenários'!$A$14,'Base Cenários'!D22,'Base Cenários'!D33))))*$C$4</f>
        <v>0</v>
      </c>
      <c r="E13" s="9">
        <f>(IF($B$3='Base Cenários'!$A$3,'Base Cenários'!E11,(IF($B$3='Base Cenários'!$A$14,'Base Cenários'!E22,'Base Cenários'!E33))))*$C$4</f>
        <v>11646.87552</v>
      </c>
      <c r="F13" s="9">
        <f>(IF($B$3='Base Cenários'!$A$3,'Base Cenários'!F11,(IF($B$3='Base Cenários'!$A$14,'Base Cenários'!F22,'Base Cenários'!F33))))*$C$4</f>
        <v>0</v>
      </c>
      <c r="H13" s="8" t="s">
        <v>15</v>
      </c>
      <c r="I13" s="45">
        <f>IF(Renda!B24&gt;0,B13/Renda!B24,0)</f>
        <v>1.7296446377723599E-3</v>
      </c>
      <c r="J13" s="45">
        <f>IF(Renda!C24&gt;0,C13/Renda!C24,0)</f>
        <v>0.19853115691285397</v>
      </c>
      <c r="K13" s="45">
        <f>IF(Renda!D24&gt;0,D13/Renda!D24,0)</f>
        <v>0</v>
      </c>
      <c r="L13" s="45">
        <f>IF(Renda!E24&gt;0,E13/Renda!E24,0)</f>
        <v>8.0782202404931086E-5</v>
      </c>
      <c r="M13" s="45">
        <f>IF(Renda!F24&gt;0,F13/Renda!F24,0)</f>
        <v>0</v>
      </c>
    </row>
    <row r="14" spans="1:13">
      <c r="A14" s="8" t="s">
        <v>16</v>
      </c>
      <c r="B14" s="9">
        <f>(IF($B$3='Base Cenários'!$A$3,'Base Cenários'!B12,(IF($B$3='Base Cenários'!$A$14,'Base Cenários'!B23,'Base Cenários'!B34))))*$C$4</f>
        <v>57094.641728642971</v>
      </c>
      <c r="C14" s="9">
        <f>(IF($B$3='Base Cenários'!$A$3,'Base Cenários'!C12,(IF($B$3='Base Cenários'!$A$14,'Base Cenários'!C23,'Base Cenários'!C34))))*$C$4</f>
        <v>0</v>
      </c>
      <c r="D14" s="9">
        <f>(IF($B$3='Base Cenários'!$A$3,'Base Cenários'!D12,(IF($B$3='Base Cenários'!$A$14,'Base Cenários'!D23,'Base Cenários'!D34))))*$C$4</f>
        <v>1200.46009824</v>
      </c>
      <c r="E14" s="9">
        <f>(IF($B$3='Base Cenários'!$A$3,'Base Cenários'!E12,(IF($B$3='Base Cenários'!$A$14,'Base Cenários'!E23,'Base Cenários'!E34))))*$C$4</f>
        <v>11646.87552</v>
      </c>
      <c r="F14" s="9">
        <f>(IF($B$3='Base Cenários'!$A$3,'Base Cenários'!F12,(IF($B$3='Base Cenários'!$A$14,'Base Cenários'!F23,'Base Cenários'!F34))))*$C$4</f>
        <v>0</v>
      </c>
      <c r="H14" s="8" t="s">
        <v>16</v>
      </c>
      <c r="I14" s="45">
        <f>IF(Renda!B25&gt;0,B14/Renda!B25,0)</f>
        <v>1.1582333877670963E-3</v>
      </c>
      <c r="J14" s="45">
        <f>IF(Renda!C25&gt;0,C14/Renda!C25,0)</f>
        <v>0</v>
      </c>
      <c r="K14" s="45">
        <f>IF(Renda!D25&gt;0,D14/Renda!D25,0)</f>
        <v>2.5462146184171458E-7</v>
      </c>
      <c r="L14" s="45">
        <f>IF(Renda!E25&gt;0,E14/Renda!E25,0)</f>
        <v>7.3930414224273981E-4</v>
      </c>
      <c r="M14" s="45">
        <f>IF(Renda!F25&gt;0,F14/Renda!F25,0)</f>
        <v>0</v>
      </c>
    </row>
    <row r="15" spans="1:13" ht="12.75" thickBot="1">
      <c r="A15" s="36" t="s">
        <v>17</v>
      </c>
      <c r="B15" s="37">
        <f>SUM(B9:B14)</f>
        <v>2026837.4466024751</v>
      </c>
      <c r="C15" s="37">
        <f t="shared" ref="C15:F15" si="0">SUM(C9:C14)</f>
        <v>271084.45923839998</v>
      </c>
      <c r="D15" s="37">
        <f t="shared" si="0"/>
        <v>1482568.2213263998</v>
      </c>
      <c r="E15" s="37">
        <f t="shared" si="0"/>
        <v>93175.004160000011</v>
      </c>
      <c r="F15" s="37">
        <f t="shared" si="0"/>
        <v>4387290.5401180713</v>
      </c>
      <c r="H15" s="36" t="s">
        <v>17</v>
      </c>
      <c r="I15" s="46">
        <f>IF(B15&gt;0,B15/Renda!B26,0)</f>
        <v>1.3242556921315853E-2</v>
      </c>
      <c r="J15" s="46">
        <f>IF(C15&gt;0,C15/Renda!C26,0)</f>
        <v>0.17934765405709963</v>
      </c>
      <c r="K15" s="46">
        <f>IF(D15&gt;0,D15/Renda!D26,0)</f>
        <v>1.1074704285493105E-4</v>
      </c>
      <c r="L15" s="46">
        <f>IF(E15&gt;0,E15/Renda!E26,0)</f>
        <v>3.1394895911820633E-4</v>
      </c>
      <c r="M15" s="46">
        <f>IF(F15&gt;0,F15/Renda!F26,0)</f>
        <v>1.5160142518610726E-3</v>
      </c>
    </row>
  </sheetData>
  <mergeCells count="8">
    <mergeCell ref="A1:M1"/>
    <mergeCell ref="B2:I2"/>
    <mergeCell ref="A6:F6"/>
    <mergeCell ref="H6:M6"/>
    <mergeCell ref="A7:A8"/>
    <mergeCell ref="H7:H8"/>
    <mergeCell ref="B8:F8"/>
    <mergeCell ref="I8:M8"/>
  </mergeCells>
  <dataValidations count="2">
    <dataValidation type="list" allowBlank="1" showInputMessage="1" showErrorMessage="1" sqref="B3" xr:uid="{9873195C-3DB8-4BA0-9BA2-BE1C1E04A885}">
      <formula1>"Cenário 1,Cenário 2,Cenário 3"</formula1>
    </dataValidation>
    <dataValidation type="list" allowBlank="1" showInputMessage="1" showErrorMessage="1" sqref="B4" xr:uid="{B20E4FDF-49E4-4C52-B2E5-7FEB2411624F}">
      <formula1>"PPU 1,PPU 2,PPU 3"</formula1>
    </dataValidation>
  </dataValidations>
  <pageMargins left="0.511811024" right="0.511811024" top="0.78740157499999996" bottom="0.78740157499999996" header="0.31496062000000002" footer="0.31496062000000002"/>
  <drawing r:id="rId1"/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75046B-E84C-48D6-8FC1-C1A0882AAB4B}">
  <dimension ref="A1:M15"/>
  <sheetViews>
    <sheetView workbookViewId="0">
      <selection activeCell="A6" sqref="A6:F15"/>
    </sheetView>
  </sheetViews>
  <sheetFormatPr defaultColWidth="9.125" defaultRowHeight="12"/>
  <cols>
    <col min="1" max="1" width="19.75" style="8" bestFit="1" customWidth="1"/>
    <col min="2" max="5" width="15.25" style="8" bestFit="1" customWidth="1"/>
    <col min="6" max="6" width="16.25" style="8" bestFit="1" customWidth="1"/>
    <col min="7" max="7" width="9.375" style="8" bestFit="1" customWidth="1"/>
    <col min="8" max="8" width="18" style="8" customWidth="1"/>
    <col min="9" max="9" width="15.875" style="42" bestFit="1" customWidth="1"/>
    <col min="10" max="10" width="16.125" style="42" bestFit="1" customWidth="1"/>
    <col min="11" max="12" width="9.125" style="8"/>
    <col min="13" max="13" width="13.625" style="8" bestFit="1" customWidth="1"/>
    <col min="14" max="16384" width="9.125" style="8"/>
  </cols>
  <sheetData>
    <row r="1" spans="1:13" ht="15.75">
      <c r="A1" s="158" t="s">
        <v>92</v>
      </c>
      <c r="B1" s="158"/>
      <c r="C1" s="158"/>
      <c r="D1" s="158"/>
      <c r="E1" s="158"/>
      <c r="F1" s="158"/>
      <c r="G1" s="158"/>
      <c r="H1" s="158"/>
      <c r="I1" s="158"/>
      <c r="J1" s="158"/>
      <c r="K1" s="158"/>
      <c r="L1" s="158"/>
      <c r="M1" s="158"/>
    </row>
    <row r="2" spans="1:13">
      <c r="A2" s="38" t="s">
        <v>34</v>
      </c>
      <c r="B2" s="157" t="s">
        <v>100</v>
      </c>
      <c r="C2" s="157"/>
      <c r="D2" s="157"/>
      <c r="E2" s="157"/>
      <c r="F2" s="157"/>
      <c r="G2" s="157"/>
      <c r="H2" s="157"/>
      <c r="I2" s="157"/>
      <c r="J2" s="39"/>
    </row>
    <row r="3" spans="1:13">
      <c r="A3" s="38" t="s">
        <v>35</v>
      </c>
      <c r="B3" s="40" t="s">
        <v>76</v>
      </c>
      <c r="C3" s="40"/>
      <c r="D3" s="40"/>
      <c r="E3" s="40"/>
      <c r="F3" s="40"/>
      <c r="G3" s="40"/>
      <c r="H3" s="40"/>
      <c r="I3" s="39"/>
      <c r="J3" s="39"/>
    </row>
    <row r="4" spans="1:13">
      <c r="A4" s="38" t="s">
        <v>99</v>
      </c>
      <c r="B4" s="40" t="s">
        <v>64</v>
      </c>
      <c r="C4" s="44">
        <f>IF(B4='Base Cenários'!I2,'Base Cenários'!J2,(IF('Cenário A.3.2'!B4='Base Cenários'!I3,'Base Cenários'!J3,'Base Cenários'!J4)))</f>
        <v>8.405E-2</v>
      </c>
      <c r="D4" s="40" t="s">
        <v>43</v>
      </c>
      <c r="E4" s="40"/>
      <c r="F4" s="40"/>
      <c r="G4" s="40"/>
      <c r="H4" s="40"/>
      <c r="I4" s="39"/>
      <c r="J4" s="39"/>
    </row>
    <row r="5" spans="1:13" ht="12.75" thickBot="1">
      <c r="A5" s="10"/>
      <c r="B5" s="10"/>
      <c r="C5" s="10"/>
      <c r="D5" s="10"/>
      <c r="E5" s="10"/>
      <c r="F5" s="10"/>
      <c r="H5" s="10"/>
      <c r="I5" s="41"/>
      <c r="J5" s="41"/>
      <c r="K5" s="10"/>
      <c r="L5" s="10"/>
      <c r="M5" s="10"/>
    </row>
    <row r="6" spans="1:13">
      <c r="A6" s="161" t="s">
        <v>48</v>
      </c>
      <c r="B6" s="161"/>
      <c r="C6" s="161"/>
      <c r="D6" s="161"/>
      <c r="E6" s="161"/>
      <c r="F6" s="161"/>
      <c r="H6" s="161" t="s">
        <v>49</v>
      </c>
      <c r="I6" s="161"/>
      <c r="J6" s="161"/>
      <c r="K6" s="161"/>
      <c r="L6" s="161"/>
      <c r="M6" s="161"/>
    </row>
    <row r="7" spans="1:13" s="11" customFormat="1">
      <c r="A7" s="159" t="s">
        <v>47</v>
      </c>
      <c r="B7" s="35" t="s">
        <v>1</v>
      </c>
      <c r="C7" s="35" t="s">
        <v>2</v>
      </c>
      <c r="D7" s="35" t="s">
        <v>3</v>
      </c>
      <c r="E7" s="35" t="s">
        <v>4</v>
      </c>
      <c r="F7" s="35" t="s">
        <v>5</v>
      </c>
      <c r="H7" s="159" t="s">
        <v>47</v>
      </c>
      <c r="I7" s="35" t="s">
        <v>1</v>
      </c>
      <c r="J7" s="35" t="s">
        <v>2</v>
      </c>
      <c r="K7" s="35" t="s">
        <v>3</v>
      </c>
      <c r="L7" s="35" t="s">
        <v>4</v>
      </c>
      <c r="M7" s="35" t="s">
        <v>5</v>
      </c>
    </row>
    <row r="8" spans="1:13">
      <c r="A8" s="160"/>
      <c r="B8" s="155" t="s">
        <v>42</v>
      </c>
      <c r="C8" s="155"/>
      <c r="D8" s="155"/>
      <c r="E8" s="155"/>
      <c r="F8" s="155"/>
      <c r="H8" s="160"/>
      <c r="I8" s="155" t="s">
        <v>50</v>
      </c>
      <c r="J8" s="155"/>
      <c r="K8" s="155"/>
      <c r="L8" s="155"/>
      <c r="M8" s="155"/>
    </row>
    <row r="9" spans="1:13">
      <c r="A9" s="8" t="s">
        <v>11</v>
      </c>
      <c r="B9" s="9">
        <f>(IF($B$3='Base Cenários'!$A$3,'Base Cenários'!B7,(IF($B$3='Base Cenários'!$A$14,'Base Cenários'!B18,'Base Cenários'!B29))))*$C$4</f>
        <v>0</v>
      </c>
      <c r="C9" s="9">
        <f>(IF($B$3='Base Cenários'!$A$3,'Base Cenários'!C7,(IF($B$3='Base Cenários'!$A$14,'Base Cenários'!C18,'Base Cenários'!C29))))*$C$4</f>
        <v>0</v>
      </c>
      <c r="D9" s="9">
        <f>(IF($B$3='Base Cenários'!$A$3,'Base Cenários'!D7,(IF($B$3='Base Cenários'!$A$14,'Base Cenários'!D18,'Base Cenários'!D29))))*$C$4</f>
        <v>0</v>
      </c>
      <c r="E9" s="9">
        <f>(IF($B$3='Base Cenários'!$A$3,'Base Cenários'!E7,(IF($B$3='Base Cenários'!$A$14,'Base Cenários'!E18,'Base Cenários'!E29))))*$C$4</f>
        <v>3710.84112</v>
      </c>
      <c r="F9" s="9">
        <f>(IF($B$3='Base Cenários'!$A$3,'Base Cenários'!F7,(IF($B$3='Base Cenários'!$A$14,'Base Cenários'!F18,'Base Cenários'!F29))))*$C$4</f>
        <v>0</v>
      </c>
      <c r="H9" s="8" t="s">
        <v>11</v>
      </c>
      <c r="I9" s="45">
        <f>IF(Renda!B20&gt;0,B9/Renda!B20,0)</f>
        <v>0</v>
      </c>
      <c r="J9" s="45">
        <f>IF(Renda!C20&gt;0,C9/Renda!C20,0)</f>
        <v>0</v>
      </c>
      <c r="K9" s="45">
        <f>IF(Renda!D20&gt;0,D9/Renda!D20,0)</f>
        <v>0</v>
      </c>
      <c r="L9" s="45">
        <f>IF(Renda!E20&gt;0,E9/Renda!E20,0)</f>
        <v>2.5135628850974295E-4</v>
      </c>
      <c r="M9" s="45">
        <f>IF(Renda!F20&gt;0,F9/Renda!F20,0)</f>
        <v>0</v>
      </c>
    </row>
    <row r="10" spans="1:13">
      <c r="A10" s="8" t="s">
        <v>12</v>
      </c>
      <c r="B10" s="9">
        <f>(IF($B$3='Base Cenários'!$A$3,'Base Cenários'!B8,(IF($B$3='Base Cenários'!$A$14,'Base Cenários'!B19,'Base Cenários'!B30))))*$C$4</f>
        <v>0</v>
      </c>
      <c r="C10" s="9">
        <f>(IF($B$3='Base Cenários'!$A$3,'Base Cenários'!C8,(IF($B$3='Base Cenários'!$A$14,'Base Cenários'!C19,'Base Cenários'!C30))))*$C$4</f>
        <v>0</v>
      </c>
      <c r="D10" s="9">
        <f>(IF($B$3='Base Cenários'!$A$3,'Base Cenários'!D8,(IF($B$3='Base Cenários'!$A$14,'Base Cenários'!D19,'Base Cenários'!D30))))*$C$4</f>
        <v>0</v>
      </c>
      <c r="E10" s="9">
        <f>(IF($B$3='Base Cenários'!$A$3,'Base Cenários'!E8,(IF($B$3='Base Cenários'!$A$14,'Base Cenários'!E19,'Base Cenários'!E30))))*$C$4</f>
        <v>3710.84112</v>
      </c>
      <c r="F10" s="9">
        <f>(IF($B$3='Base Cenários'!$A$3,'Base Cenários'!F8,(IF($B$3='Base Cenários'!$A$14,'Base Cenários'!F19,'Base Cenários'!F30))))*$C$4</f>
        <v>0</v>
      </c>
      <c r="H10" s="8" t="s">
        <v>12</v>
      </c>
      <c r="I10" s="45">
        <f>IF(Renda!B21&gt;0,B10/Renda!B21,0)</f>
        <v>0</v>
      </c>
      <c r="J10" s="45">
        <f>IF(Renda!C21&gt;0,C10/Renda!C21,0)</f>
        <v>0</v>
      </c>
      <c r="K10" s="45">
        <f>IF(Renda!D21&gt;0,D10/Renda!D21,0)</f>
        <v>0</v>
      </c>
      <c r="L10" s="45">
        <f>IF(Renda!E21&gt;0,E10/Renda!E21,0)</f>
        <v>2.4874556958464738E-4</v>
      </c>
      <c r="M10" s="45">
        <f>IF(Renda!F21&gt;0,F10/Renda!F21,0)</f>
        <v>0</v>
      </c>
    </row>
    <row r="11" spans="1:13">
      <c r="A11" s="8" t="s">
        <v>13</v>
      </c>
      <c r="B11" s="9">
        <f>(IF($B$3='Base Cenários'!$A$3,'Base Cenários'!B9,(IF($B$3='Base Cenários'!$A$14,'Base Cenários'!B20,'Base Cenários'!B31))))*$C$4</f>
        <v>0</v>
      </c>
      <c r="C11" s="9">
        <f>(IF($B$3='Base Cenários'!$A$3,'Base Cenários'!C9,(IF($B$3='Base Cenários'!$A$14,'Base Cenários'!C20,'Base Cenários'!C31))))*$C$4</f>
        <v>0</v>
      </c>
      <c r="D11" s="9">
        <f>(IF($B$3='Base Cenários'!$A$3,'Base Cenários'!D9,(IF($B$3='Base Cenários'!$A$14,'Base Cenários'!D20,'Base Cenários'!D31))))*$C$4</f>
        <v>0</v>
      </c>
      <c r="E11" s="9">
        <f>(IF($B$3='Base Cenários'!$A$3,'Base Cenários'!E9,(IF($B$3='Base Cenários'!$A$14,'Base Cenários'!E20,'Base Cenários'!E31))))*$C$4</f>
        <v>29686.72896</v>
      </c>
      <c r="F11" s="9">
        <f>(IF($B$3='Base Cenários'!$A$3,'Base Cenários'!F9,(IF($B$3='Base Cenários'!$A$14,'Base Cenários'!F20,'Base Cenários'!F31))))*$C$4</f>
        <v>0</v>
      </c>
      <c r="H11" s="8" t="s">
        <v>13</v>
      </c>
      <c r="I11" s="45">
        <f>IF(Renda!B22&gt;0,B11/Renda!B22,0)</f>
        <v>0</v>
      </c>
      <c r="J11" s="45">
        <f>IF(Renda!C22&gt;0,C11/Renda!C22,0)</f>
        <v>0</v>
      </c>
      <c r="K11" s="45">
        <f>IF(Renda!D22&gt;0,D11/Renda!D22,0)</f>
        <v>0</v>
      </c>
      <c r="L11" s="45">
        <f>IF(Renda!E22&gt;0,E11/Renda!E22,0)</f>
        <v>1.258810412026079E-3</v>
      </c>
      <c r="M11" s="45">
        <f>IF(Renda!F22&gt;0,F11/Renda!F22,0)</f>
        <v>0</v>
      </c>
    </row>
    <row r="12" spans="1:13">
      <c r="A12" s="8" t="s">
        <v>14</v>
      </c>
      <c r="B12" s="9">
        <f>(IF($B$3='Base Cenários'!$A$3,'Base Cenários'!B10,(IF($B$3='Base Cenários'!$A$14,'Base Cenários'!B21,'Base Cenários'!B32))))*$C$4</f>
        <v>2505450.093868745</v>
      </c>
      <c r="C12" s="9">
        <f>(IF($B$3='Base Cenários'!$A$3,'Base Cenários'!C10,(IF($B$3='Base Cenários'!$A$14,'Base Cenários'!C21,'Base Cenários'!C32))))*$C$4</f>
        <v>0</v>
      </c>
      <c r="D12" s="9">
        <f>(IF($B$3='Base Cenários'!$A$3,'Base Cenários'!D10,(IF($B$3='Base Cenários'!$A$14,'Base Cenários'!D21,'Base Cenários'!D32))))*$C$4</f>
        <v>1887929.64869184</v>
      </c>
      <c r="E12" s="9">
        <f>(IF($B$3='Base Cenários'!$A$3,'Base Cenários'!E10,(IF($B$3='Base Cenários'!$A$14,'Base Cenários'!E21,'Base Cenários'!E32))))*$C$4</f>
        <v>51951.775680000006</v>
      </c>
      <c r="F12" s="9">
        <f>(IF($B$3='Base Cenários'!$A$3,'Base Cenários'!F10,(IF($B$3='Base Cenários'!$A$14,'Base Cenários'!F21,'Base Cenários'!F32))))*$C$4</f>
        <v>5591383.925654646</v>
      </c>
      <c r="H12" s="8" t="s">
        <v>14</v>
      </c>
      <c r="I12" s="45">
        <f>IF(Renda!B23&gt;0,B12/Renda!B23,0)</f>
        <v>2.9474600299425304E-2</v>
      </c>
      <c r="J12" s="45">
        <f>IF(Renda!C23&gt;0,C12/Renda!C23,0)</f>
        <v>0</v>
      </c>
      <c r="K12" s="45">
        <f>IF(Renda!D23&gt;0,D12/Renda!D23,0)</f>
        <v>3.0801478396166095E-4</v>
      </c>
      <c r="L12" s="45">
        <f>IF(Renda!E23&gt;0,E12/Renda!E23,0)</f>
        <v>6.2151316059636495E-4</v>
      </c>
      <c r="M12" s="45">
        <f>IF(Renda!F23&gt;0,F12/Renda!F23,0)</f>
        <v>1.9320848804992138E-3</v>
      </c>
    </row>
    <row r="13" spans="1:13">
      <c r="A13" s="8" t="s">
        <v>15</v>
      </c>
      <c r="B13" s="9">
        <f>(IF($B$3='Base Cenários'!$A$3,'Base Cenários'!B11,(IF($B$3='Base Cenários'!$A$14,'Base Cenários'!B22,'Base Cenários'!B33))))*$C$4</f>
        <v>4889.2958150400009</v>
      </c>
      <c r="C13" s="9">
        <f>(IF($B$3='Base Cenários'!$A$3,'Base Cenários'!C11,(IF($B$3='Base Cenários'!$A$14,'Base Cenários'!C22,'Base Cenários'!C33))))*$C$4</f>
        <v>345483.68156160001</v>
      </c>
      <c r="D13" s="9">
        <f>(IF($B$3='Base Cenários'!$A$3,'Base Cenários'!D11,(IF($B$3='Base Cenários'!$A$14,'Base Cenários'!D22,'Base Cenários'!D33))))*$C$4</f>
        <v>0</v>
      </c>
      <c r="E13" s="9">
        <f>(IF($B$3='Base Cenários'!$A$3,'Base Cenários'!E11,(IF($B$3='Base Cenários'!$A$14,'Base Cenários'!E22,'Base Cenários'!E33))))*$C$4</f>
        <v>14843.36448</v>
      </c>
      <c r="F13" s="9">
        <f>(IF($B$3='Base Cenários'!$A$3,'Base Cenários'!F11,(IF($B$3='Base Cenários'!$A$14,'Base Cenários'!F22,'Base Cenários'!F33))))*$C$4</f>
        <v>0</v>
      </c>
      <c r="H13" s="8" t="s">
        <v>15</v>
      </c>
      <c r="I13" s="45">
        <f>IF(Renda!B24&gt;0,B13/Renda!B24,0)</f>
        <v>2.2043461987076097E-3</v>
      </c>
      <c r="J13" s="45">
        <f>IF(Renda!C24&gt;0,C13/Renda!C24,0)</f>
        <v>0.25301810065997543</v>
      </c>
      <c r="K13" s="45">
        <f>IF(Renda!D24&gt;0,D13/Renda!D24,0)</f>
        <v>0</v>
      </c>
      <c r="L13" s="45">
        <f>IF(Renda!E24&gt;0,E13/Renda!E24,0)</f>
        <v>1.029529054152306E-4</v>
      </c>
      <c r="M13" s="45">
        <f>IF(Renda!F24&gt;0,F13/Renda!F24,0)</f>
        <v>0</v>
      </c>
    </row>
    <row r="14" spans="1:13">
      <c r="A14" s="8" t="s">
        <v>16</v>
      </c>
      <c r="B14" s="9">
        <f>(IF($B$3='Base Cenários'!$A$3,'Base Cenários'!B12,(IF($B$3='Base Cenários'!$A$14,'Base Cenários'!B23,'Base Cenários'!B34))))*$C$4</f>
        <v>72764.285629908147</v>
      </c>
      <c r="C14" s="9">
        <f>(IF($B$3='Base Cenários'!$A$3,'Base Cenários'!C12,(IF($B$3='Base Cenários'!$A$14,'Base Cenários'!C23,'Base Cenários'!C34))))*$C$4</f>
        <v>0</v>
      </c>
      <c r="D14" s="9">
        <f>(IF($B$3='Base Cenários'!$A$3,'Base Cenários'!D12,(IF($B$3='Base Cenários'!$A$14,'Base Cenários'!D23,'Base Cenários'!D34))))*$C$4</f>
        <v>1529.92678176</v>
      </c>
      <c r="E14" s="9">
        <f>(IF($B$3='Base Cenários'!$A$3,'Base Cenários'!E12,(IF($B$3='Base Cenários'!$A$14,'Base Cenários'!E23,'Base Cenários'!E34))))*$C$4</f>
        <v>14843.36448</v>
      </c>
      <c r="F14" s="9">
        <f>(IF($B$3='Base Cenários'!$A$3,'Base Cenários'!F12,(IF($B$3='Base Cenários'!$A$14,'Base Cenários'!F23,'Base Cenários'!F34))))*$C$4</f>
        <v>0</v>
      </c>
      <c r="H14" s="8" t="s">
        <v>16</v>
      </c>
      <c r="I14" s="45">
        <f>IF(Renda!B25&gt;0,B14/Renda!B25,0)</f>
        <v>1.4761109361914246E-3</v>
      </c>
      <c r="J14" s="45">
        <f>IF(Renda!C25&gt;0,C14/Renda!C25,0)</f>
        <v>0</v>
      </c>
      <c r="K14" s="45">
        <f>IF(Renda!D25&gt;0,D14/Renda!D25,0)</f>
        <v>3.2450240891275373E-7</v>
      </c>
      <c r="L14" s="45">
        <f>IF(Renda!E25&gt;0,E14/Renda!E25,0)</f>
        <v>9.4220641630784357E-4</v>
      </c>
      <c r="M14" s="45">
        <f>IF(Renda!F25&gt;0,F14/Renda!F25,0)</f>
        <v>0</v>
      </c>
    </row>
    <row r="15" spans="1:13" ht="12.75" thickBot="1">
      <c r="A15" s="36" t="s">
        <v>17</v>
      </c>
      <c r="B15" s="37">
        <f>SUM(B9:B14)</f>
        <v>2583103.675313693</v>
      </c>
      <c r="C15" s="37">
        <f t="shared" ref="C15:F15" si="0">SUM(C9:C14)</f>
        <v>345483.68156160001</v>
      </c>
      <c r="D15" s="37">
        <f t="shared" si="0"/>
        <v>1889459.5754736001</v>
      </c>
      <c r="E15" s="37">
        <f t="shared" si="0"/>
        <v>118746.91584000002</v>
      </c>
      <c r="F15" s="37">
        <f t="shared" si="0"/>
        <v>5591383.925654646</v>
      </c>
      <c r="H15" s="36" t="s">
        <v>17</v>
      </c>
      <c r="I15" s="46">
        <f>IF(B15&gt;0,B15/Renda!B26,0)</f>
        <v>1.6876981186301706E-2</v>
      </c>
      <c r="J15" s="46">
        <f>IF(C15&gt;0,C15/Renda!C26,0)</f>
        <v>0.22856967890067059</v>
      </c>
      <c r="K15" s="46">
        <f>IF(D15&gt;0,D15/Renda!D26,0)</f>
        <v>1.4114160654976431E-4</v>
      </c>
      <c r="L15" s="46">
        <f>IF(E15&gt;0,E15/Renda!E26,0)</f>
        <v>4.0011235805739568E-4</v>
      </c>
      <c r="M15" s="46">
        <f>IF(F15&gt;0,F15/Renda!F26,0)</f>
        <v>1.9320848804992138E-3</v>
      </c>
    </row>
  </sheetData>
  <mergeCells count="8">
    <mergeCell ref="A1:M1"/>
    <mergeCell ref="B2:I2"/>
    <mergeCell ref="A6:F6"/>
    <mergeCell ref="H6:M6"/>
    <mergeCell ref="A7:A8"/>
    <mergeCell ref="H7:H8"/>
    <mergeCell ref="B8:F8"/>
    <mergeCell ref="I8:M8"/>
  </mergeCells>
  <dataValidations count="2">
    <dataValidation type="list" allowBlank="1" showInputMessage="1" showErrorMessage="1" sqref="B4" xr:uid="{012C80A9-5975-4CDB-83E6-87F0EA0E20F7}">
      <formula1>"PPU 1,PPU 2,PPU 3"</formula1>
    </dataValidation>
    <dataValidation type="list" allowBlank="1" showInputMessage="1" showErrorMessage="1" sqref="B3" xr:uid="{7E8811AB-58A8-4C4A-93B9-CBD56A56E8E8}">
      <formula1>"Cenário 1,Cenário 2,Cenário 3"</formula1>
    </dataValidation>
  </dataValidations>
  <pageMargins left="0.511811024" right="0.511811024" top="0.78740157499999996" bottom="0.78740157499999996" header="0.31496062000000002" footer="0.31496062000000002"/>
  <drawing r:id="rId1"/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73F7D1-04AF-452D-A769-504C22FF2833}">
  <dimension ref="A1:M15"/>
  <sheetViews>
    <sheetView workbookViewId="0">
      <selection activeCell="B9" sqref="B9:F15"/>
    </sheetView>
  </sheetViews>
  <sheetFormatPr defaultColWidth="9.125" defaultRowHeight="12"/>
  <cols>
    <col min="1" max="1" width="19.75" style="8" bestFit="1" customWidth="1"/>
    <col min="2" max="2" width="16.125" style="8" bestFit="1" customWidth="1"/>
    <col min="3" max="5" width="15.25" style="8" bestFit="1" customWidth="1"/>
    <col min="6" max="6" width="16.25" style="8" bestFit="1" customWidth="1"/>
    <col min="7" max="7" width="9.375" style="8" bestFit="1" customWidth="1"/>
    <col min="8" max="8" width="18" style="8" customWidth="1"/>
    <col min="9" max="9" width="15.875" style="42" bestFit="1" customWidth="1"/>
    <col min="10" max="10" width="16.125" style="42" bestFit="1" customWidth="1"/>
    <col min="11" max="12" width="9.125" style="8"/>
    <col min="13" max="13" width="13.625" style="8" bestFit="1" customWidth="1"/>
    <col min="14" max="16384" width="9.125" style="8"/>
  </cols>
  <sheetData>
    <row r="1" spans="1:13" ht="15.75">
      <c r="A1" s="158" t="s">
        <v>91</v>
      </c>
      <c r="B1" s="158"/>
      <c r="C1" s="158"/>
      <c r="D1" s="158"/>
      <c r="E1" s="158"/>
      <c r="F1" s="158"/>
      <c r="G1" s="158"/>
      <c r="H1" s="158"/>
      <c r="I1" s="158"/>
      <c r="J1" s="158"/>
      <c r="K1" s="158"/>
      <c r="L1" s="158"/>
      <c r="M1" s="158"/>
    </row>
    <row r="2" spans="1:13">
      <c r="A2" s="38" t="s">
        <v>34</v>
      </c>
      <c r="B2" s="157" t="s">
        <v>100</v>
      </c>
      <c r="C2" s="157"/>
      <c r="D2" s="157"/>
      <c r="E2" s="157"/>
      <c r="F2" s="157"/>
      <c r="G2" s="157"/>
      <c r="H2" s="157"/>
      <c r="I2" s="157"/>
      <c r="J2" s="39"/>
    </row>
    <row r="3" spans="1:13">
      <c r="A3" s="38" t="s">
        <v>35</v>
      </c>
      <c r="B3" s="40" t="s">
        <v>76</v>
      </c>
      <c r="C3" s="40"/>
      <c r="D3" s="40"/>
      <c r="E3" s="40"/>
      <c r="F3" s="40"/>
      <c r="G3" s="40"/>
      <c r="H3" s="40"/>
      <c r="I3" s="39"/>
      <c r="J3" s="39"/>
    </row>
    <row r="4" spans="1:13">
      <c r="A4" s="38" t="s">
        <v>99</v>
      </c>
      <c r="B4" s="40" t="s">
        <v>65</v>
      </c>
      <c r="C4" s="44">
        <f>IF(B4='Base Cenários'!I2,'Base Cenários'!J2,(IF('Cenário A.3.3'!B4='Base Cenários'!I3,'Base Cenários'!J3,'Base Cenários'!J4)))</f>
        <v>0.15</v>
      </c>
      <c r="D4" s="40" t="s">
        <v>43</v>
      </c>
      <c r="E4" s="40"/>
      <c r="F4" s="40"/>
      <c r="G4" s="40"/>
      <c r="H4" s="40"/>
      <c r="I4" s="39"/>
      <c r="J4" s="39"/>
    </row>
    <row r="5" spans="1:13" ht="12.75" thickBot="1">
      <c r="A5" s="10"/>
      <c r="B5" s="10"/>
      <c r="C5" s="10"/>
      <c r="D5" s="10"/>
      <c r="E5" s="10"/>
      <c r="F5" s="10"/>
      <c r="H5" s="10"/>
      <c r="I5" s="41"/>
      <c r="J5" s="41"/>
      <c r="K5" s="10"/>
      <c r="L5" s="10"/>
      <c r="M5" s="10"/>
    </row>
    <row r="6" spans="1:13">
      <c r="A6" s="161" t="s">
        <v>48</v>
      </c>
      <c r="B6" s="161"/>
      <c r="C6" s="161"/>
      <c r="D6" s="161"/>
      <c r="E6" s="161"/>
      <c r="F6" s="161"/>
      <c r="H6" s="161" t="s">
        <v>49</v>
      </c>
      <c r="I6" s="161"/>
      <c r="J6" s="161"/>
      <c r="K6" s="161"/>
      <c r="L6" s="161"/>
      <c r="M6" s="161"/>
    </row>
    <row r="7" spans="1:13" s="11" customFormat="1">
      <c r="A7" s="159" t="s">
        <v>47</v>
      </c>
      <c r="B7" s="35" t="s">
        <v>1</v>
      </c>
      <c r="C7" s="35" t="s">
        <v>2</v>
      </c>
      <c r="D7" s="35" t="s">
        <v>3</v>
      </c>
      <c r="E7" s="35" t="s">
        <v>4</v>
      </c>
      <c r="F7" s="35" t="s">
        <v>5</v>
      </c>
      <c r="H7" s="159" t="s">
        <v>47</v>
      </c>
      <c r="I7" s="35" t="s">
        <v>1</v>
      </c>
      <c r="J7" s="35" t="s">
        <v>2</v>
      </c>
      <c r="K7" s="35" t="s">
        <v>3</v>
      </c>
      <c r="L7" s="35" t="s">
        <v>4</v>
      </c>
      <c r="M7" s="35" t="s">
        <v>5</v>
      </c>
    </row>
    <row r="8" spans="1:13">
      <c r="A8" s="160"/>
      <c r="B8" s="155" t="s">
        <v>42</v>
      </c>
      <c r="C8" s="155"/>
      <c r="D8" s="155"/>
      <c r="E8" s="155"/>
      <c r="F8" s="155"/>
      <c r="H8" s="160"/>
      <c r="I8" s="155" t="s">
        <v>50</v>
      </c>
      <c r="J8" s="155"/>
      <c r="K8" s="155"/>
      <c r="L8" s="155"/>
      <c r="M8" s="155"/>
    </row>
    <row r="9" spans="1:13">
      <c r="A9" s="8" t="s">
        <v>11</v>
      </c>
      <c r="B9" s="9">
        <f>(IF($B$3='Base Cenários'!$A$3,'Base Cenários'!B7,(IF($B$3='Base Cenários'!$A$14,'Base Cenários'!B18,'Base Cenários'!B29))))*$C$4</f>
        <v>0</v>
      </c>
      <c r="C9" s="9">
        <f>(IF($B$3='Base Cenários'!$A$3,'Base Cenários'!C7,(IF($B$3='Base Cenários'!$A$14,'Base Cenários'!C18,'Base Cenários'!C29))))*$C$4</f>
        <v>0</v>
      </c>
      <c r="D9" s="9">
        <f>(IF($B$3='Base Cenários'!$A$3,'Base Cenários'!D7,(IF($B$3='Base Cenários'!$A$14,'Base Cenários'!D18,'Base Cenários'!D29))))*$C$4</f>
        <v>0</v>
      </c>
      <c r="E9" s="9">
        <f>(IF($B$3='Base Cenários'!$A$3,'Base Cenários'!E7,(IF($B$3='Base Cenários'!$A$14,'Base Cenários'!E18,'Base Cenários'!E29))))*$C$4</f>
        <v>6622.56</v>
      </c>
      <c r="F9" s="9">
        <f>(IF($B$3='Base Cenários'!$A$3,'Base Cenários'!F7,(IF($B$3='Base Cenários'!$A$14,'Base Cenários'!F18,'Base Cenários'!F29))))*$C$4</f>
        <v>0</v>
      </c>
      <c r="H9" s="8" t="s">
        <v>11</v>
      </c>
      <c r="I9" s="45">
        <f>IF(Renda!B20&gt;0,B9/Renda!B20,0)</f>
        <v>0</v>
      </c>
      <c r="J9" s="45">
        <f>IF(Renda!C20&gt;0,C9/Renda!C20,0)</f>
        <v>0</v>
      </c>
      <c r="K9" s="45">
        <f>IF(Renda!D20&gt;0,D9/Renda!D20,0)</f>
        <v>0</v>
      </c>
      <c r="L9" s="45">
        <f>IF(Renda!E20&gt;0,E9/Renda!E20,0)</f>
        <v>4.4858350120715581E-4</v>
      </c>
      <c r="M9" s="45">
        <f>IF(Renda!F20&gt;0,F9/Renda!F20,0)</f>
        <v>0</v>
      </c>
    </row>
    <row r="10" spans="1:13">
      <c r="A10" s="8" t="s">
        <v>12</v>
      </c>
      <c r="B10" s="9">
        <f>(IF($B$3='Base Cenários'!$A$3,'Base Cenários'!B8,(IF($B$3='Base Cenários'!$A$14,'Base Cenários'!B19,'Base Cenários'!B30))))*$C$4</f>
        <v>0</v>
      </c>
      <c r="C10" s="9">
        <f>(IF($B$3='Base Cenários'!$A$3,'Base Cenários'!C8,(IF($B$3='Base Cenários'!$A$14,'Base Cenários'!C19,'Base Cenários'!C30))))*$C$4</f>
        <v>0</v>
      </c>
      <c r="D10" s="9">
        <f>(IF($B$3='Base Cenários'!$A$3,'Base Cenários'!D8,(IF($B$3='Base Cenários'!$A$14,'Base Cenários'!D19,'Base Cenários'!D30))))*$C$4</f>
        <v>0</v>
      </c>
      <c r="E10" s="9">
        <f>(IF($B$3='Base Cenários'!$A$3,'Base Cenários'!E8,(IF($B$3='Base Cenários'!$A$14,'Base Cenários'!E19,'Base Cenários'!E30))))*$C$4</f>
        <v>6622.56</v>
      </c>
      <c r="F10" s="9">
        <f>(IF($B$3='Base Cenários'!$A$3,'Base Cenários'!F8,(IF($B$3='Base Cenários'!$A$14,'Base Cenários'!F19,'Base Cenários'!F30))))*$C$4</f>
        <v>0</v>
      </c>
      <c r="H10" s="8" t="s">
        <v>12</v>
      </c>
      <c r="I10" s="45">
        <f>IF(Renda!B21&gt;0,B10/Renda!B21,0)</f>
        <v>0</v>
      </c>
      <c r="J10" s="45">
        <f>IF(Renda!C21&gt;0,C10/Renda!C21,0)</f>
        <v>0</v>
      </c>
      <c r="K10" s="45">
        <f>IF(Renda!D21&gt;0,D10/Renda!D21,0)</f>
        <v>0</v>
      </c>
      <c r="L10" s="45">
        <f>IF(Renda!E21&gt;0,E10/Renda!E21,0)</f>
        <v>4.4392427647468299E-4</v>
      </c>
      <c r="M10" s="45">
        <f>IF(Renda!F21&gt;0,F10/Renda!F21,0)</f>
        <v>0</v>
      </c>
    </row>
    <row r="11" spans="1:13">
      <c r="A11" s="8" t="s">
        <v>13</v>
      </c>
      <c r="B11" s="9">
        <f>(IF($B$3='Base Cenários'!$A$3,'Base Cenários'!B9,(IF($B$3='Base Cenários'!$A$14,'Base Cenários'!B20,'Base Cenários'!B31))))*$C$4</f>
        <v>0</v>
      </c>
      <c r="C11" s="9">
        <f>(IF($B$3='Base Cenários'!$A$3,'Base Cenários'!C9,(IF($B$3='Base Cenários'!$A$14,'Base Cenários'!C20,'Base Cenários'!C31))))*$C$4</f>
        <v>0</v>
      </c>
      <c r="D11" s="9">
        <f>(IF($B$3='Base Cenários'!$A$3,'Base Cenários'!D9,(IF($B$3='Base Cenários'!$A$14,'Base Cenários'!D20,'Base Cenários'!D31))))*$C$4</f>
        <v>0</v>
      </c>
      <c r="E11" s="9">
        <f>(IF($B$3='Base Cenários'!$A$3,'Base Cenários'!E9,(IF($B$3='Base Cenários'!$A$14,'Base Cenários'!E20,'Base Cenários'!E31))))*$C$4</f>
        <v>52980.480000000003</v>
      </c>
      <c r="F11" s="9">
        <f>(IF($B$3='Base Cenários'!$A$3,'Base Cenários'!F9,(IF($B$3='Base Cenários'!$A$14,'Base Cenários'!F20,'Base Cenários'!F31))))*$C$4</f>
        <v>0</v>
      </c>
      <c r="H11" s="8" t="s">
        <v>13</v>
      </c>
      <c r="I11" s="45">
        <f>IF(Renda!B22&gt;0,B11/Renda!B22,0)</f>
        <v>0</v>
      </c>
      <c r="J11" s="45">
        <f>IF(Renda!C22&gt;0,C11/Renda!C22,0)</f>
        <v>0</v>
      </c>
      <c r="K11" s="45">
        <f>IF(Renda!D22&gt;0,D11/Renda!D22,0)</f>
        <v>0</v>
      </c>
      <c r="L11" s="45">
        <f>IF(Renda!E22&gt;0,E11/Renda!E22,0)</f>
        <v>2.2465385104570119E-3</v>
      </c>
      <c r="M11" s="45">
        <f>IF(Renda!F22&gt;0,F11/Renda!F22,0)</f>
        <v>0</v>
      </c>
    </row>
    <row r="12" spans="1:13">
      <c r="A12" s="8" t="s">
        <v>14</v>
      </c>
      <c r="B12" s="9">
        <f>(IF($B$3='Base Cenários'!$A$3,'Base Cenários'!B10,(IF($B$3='Base Cenários'!$A$14,'Base Cenários'!B21,'Base Cenários'!B32))))*$C$4</f>
        <v>4471356.5030376166</v>
      </c>
      <c r="C12" s="9">
        <f>(IF($B$3='Base Cenários'!$A$3,'Base Cenários'!C10,(IF($B$3='Base Cenários'!$A$14,'Base Cenários'!C21,'Base Cenários'!C32))))*$C$4</f>
        <v>0</v>
      </c>
      <c r="D12" s="9">
        <f>(IF($B$3='Base Cenários'!$A$3,'Base Cenários'!D10,(IF($B$3='Base Cenários'!$A$14,'Base Cenários'!D21,'Base Cenários'!D32))))*$C$4</f>
        <v>3369297.40992</v>
      </c>
      <c r="E12" s="9">
        <f>(IF($B$3='Base Cenários'!$A$3,'Base Cenários'!E10,(IF($B$3='Base Cenários'!$A$14,'Base Cenários'!E21,'Base Cenários'!E32))))*$C$4</f>
        <v>92715.840000000011</v>
      </c>
      <c r="F12" s="9">
        <f>(IF($B$3='Base Cenários'!$A$3,'Base Cenários'!F10,(IF($B$3='Base Cenários'!$A$14,'Base Cenários'!F21,'Base Cenários'!F32))))*$C$4</f>
        <v>9978674.4657727182</v>
      </c>
      <c r="H12" s="8" t="s">
        <v>14</v>
      </c>
      <c r="I12" s="45">
        <f>IF(Renda!B23&gt;0,B12/Renda!B23,0)</f>
        <v>5.2601904163162343E-2</v>
      </c>
      <c r="J12" s="45">
        <f>IF(Renda!C23&gt;0,C12/Renda!C23,0)</f>
        <v>0</v>
      </c>
      <c r="K12" s="45">
        <f>IF(Renda!D23&gt;0,D12/Renda!D23,0)</f>
        <v>5.4969919802794935E-4</v>
      </c>
      <c r="L12" s="45">
        <f>IF(Renda!E23&gt;0,E12/Renda!E23,0)</f>
        <v>1.1091847006478852E-3</v>
      </c>
      <c r="M12" s="45">
        <f>IF(Renda!F23&gt;0,F12/Renda!F23,0)</f>
        <v>3.4480991323602864E-3</v>
      </c>
    </row>
    <row r="13" spans="1:13">
      <c r="A13" s="8" t="s">
        <v>15</v>
      </c>
      <c r="B13" s="9">
        <f>(IF($B$3='Base Cenários'!$A$3,'Base Cenários'!B11,(IF($B$3='Base Cenários'!$A$14,'Base Cenários'!B22,'Base Cenários'!B33))))*$C$4</f>
        <v>8725.6915200000021</v>
      </c>
      <c r="C13" s="9">
        <f>(IF($B$3='Base Cenários'!$A$3,'Base Cenários'!C11,(IF($B$3='Base Cenários'!$A$14,'Base Cenários'!C22,'Base Cenários'!C33))))*$C$4</f>
        <v>616568.14080000005</v>
      </c>
      <c r="D13" s="9">
        <f>(IF($B$3='Base Cenários'!$A$3,'Base Cenários'!D11,(IF($B$3='Base Cenários'!$A$14,'Base Cenários'!D22,'Base Cenários'!D33))))*$C$4</f>
        <v>0</v>
      </c>
      <c r="E13" s="9">
        <f>(IF($B$3='Base Cenários'!$A$3,'Base Cenários'!E11,(IF($B$3='Base Cenários'!$A$14,'Base Cenários'!E22,'Base Cenários'!E33))))*$C$4</f>
        <v>26490.240000000002</v>
      </c>
      <c r="F13" s="9">
        <f>(IF($B$3='Base Cenários'!$A$3,'Base Cenários'!F11,(IF($B$3='Base Cenários'!$A$14,'Base Cenários'!F22,'Base Cenários'!F33))))*$C$4</f>
        <v>0</v>
      </c>
      <c r="H13" s="8" t="s">
        <v>15</v>
      </c>
      <c r="I13" s="45">
        <f>IF(Renda!B24&gt;0,B13/Renda!B24,0)</f>
        <v>3.9339908364799695E-3</v>
      </c>
      <c r="J13" s="45">
        <f>IF(Renda!C24&gt;0,C13/Renda!C24,0)</f>
        <v>0.45154925757282943</v>
      </c>
      <c r="K13" s="45">
        <f>IF(Renda!D24&gt;0,D13/Renda!D24,0)</f>
        <v>0</v>
      </c>
      <c r="L13" s="45">
        <f>IF(Renda!E24&gt;0,E13/Renda!E24,0)</f>
        <v>1.8373510782016171E-4</v>
      </c>
      <c r="M13" s="45">
        <f>IF(Renda!F24&gt;0,F13/Renda!F24,0)</f>
        <v>0</v>
      </c>
    </row>
    <row r="14" spans="1:13">
      <c r="A14" s="8" t="s">
        <v>16</v>
      </c>
      <c r="B14" s="9">
        <f>(IF($B$3='Base Cenários'!$A$3,'Base Cenários'!B12,(IF($B$3='Base Cenários'!$A$14,'Base Cenários'!B23,'Base Cenários'!B34))))*$C$4</f>
        <v>129858.92735855113</v>
      </c>
      <c r="C14" s="9">
        <f>(IF($B$3='Base Cenários'!$A$3,'Base Cenários'!C12,(IF($B$3='Base Cenários'!$A$14,'Base Cenários'!C23,'Base Cenários'!C34))))*$C$4</f>
        <v>0</v>
      </c>
      <c r="D14" s="9">
        <f>(IF($B$3='Base Cenários'!$A$3,'Base Cenários'!D12,(IF($B$3='Base Cenários'!$A$14,'Base Cenários'!D23,'Base Cenários'!D34))))*$C$4</f>
        <v>2730.38688</v>
      </c>
      <c r="E14" s="9">
        <f>(IF($B$3='Base Cenários'!$A$3,'Base Cenários'!E12,(IF($B$3='Base Cenários'!$A$14,'Base Cenários'!E23,'Base Cenários'!E34))))*$C$4</f>
        <v>26490.240000000002</v>
      </c>
      <c r="F14" s="9">
        <f>(IF($B$3='Base Cenários'!$A$3,'Base Cenários'!F12,(IF($B$3='Base Cenários'!$A$14,'Base Cenários'!F23,'Base Cenários'!F34))))*$C$4</f>
        <v>0</v>
      </c>
      <c r="H14" s="8" t="s">
        <v>16</v>
      </c>
      <c r="I14" s="45">
        <f>IF(Renda!B25&gt;0,B14/Renda!B25,0)</f>
        <v>2.6343443239585209E-3</v>
      </c>
      <c r="J14" s="45">
        <f>IF(Renda!C25&gt;0,C14/Renda!C25,0)</f>
        <v>0</v>
      </c>
      <c r="K14" s="45">
        <f>IF(Renda!D25&gt;0,D14/Renda!D25,0)</f>
        <v>5.7912387075446831E-7</v>
      </c>
      <c r="L14" s="45">
        <f>IF(Renda!E25&gt;0,E14/Renda!E25,0)</f>
        <v>1.6815105585505836E-3</v>
      </c>
      <c r="M14" s="45">
        <f>IF(Renda!F25&gt;0,F14/Renda!F25,0)</f>
        <v>0</v>
      </c>
    </row>
    <row r="15" spans="1:13" ht="12.75" thickBot="1">
      <c r="A15" s="36" t="s">
        <v>17</v>
      </c>
      <c r="B15" s="37">
        <f>SUM(B9:B14)</f>
        <v>4609941.1219161674</v>
      </c>
      <c r="C15" s="37">
        <f t="shared" ref="C15:F15" si="0">SUM(C9:C14)</f>
        <v>616568.14080000005</v>
      </c>
      <c r="D15" s="37">
        <f t="shared" si="0"/>
        <v>3372027.7968000001</v>
      </c>
      <c r="E15" s="37">
        <f t="shared" si="0"/>
        <v>211921.91999999998</v>
      </c>
      <c r="F15" s="37">
        <f t="shared" si="0"/>
        <v>9978674.4657727182</v>
      </c>
      <c r="H15" s="36" t="s">
        <v>17</v>
      </c>
      <c r="I15" s="46">
        <f>IF(B15&gt;0,B15/Renda!B26,0)</f>
        <v>3.0119538107617555E-2</v>
      </c>
      <c r="J15" s="46">
        <f>IF(C15&gt;0,C15/Renda!C26,0)</f>
        <v>0.40791733295777027</v>
      </c>
      <c r="K15" s="46">
        <f>IF(D15&gt;0,D15/Renda!D26,0)</f>
        <v>2.5188864940469535E-4</v>
      </c>
      <c r="L15" s="46">
        <f>IF(E15&gt;0,E15/Renda!E26,0)</f>
        <v>7.1406131717560186E-4</v>
      </c>
      <c r="M15" s="46">
        <f>IF(F15&gt;0,F15/Renda!F26,0)</f>
        <v>3.4480991323602864E-3</v>
      </c>
    </row>
  </sheetData>
  <mergeCells count="8">
    <mergeCell ref="A1:M1"/>
    <mergeCell ref="B2:I2"/>
    <mergeCell ref="A6:F6"/>
    <mergeCell ref="H6:M6"/>
    <mergeCell ref="A7:A8"/>
    <mergeCell ref="H7:H8"/>
    <mergeCell ref="B8:F8"/>
    <mergeCell ref="I8:M8"/>
  </mergeCells>
  <dataValidations count="2">
    <dataValidation type="list" allowBlank="1" showInputMessage="1" showErrorMessage="1" sqref="B3" xr:uid="{83E8AB1F-F8BC-4D8C-A86C-661711751BA2}">
      <formula1>"Cenário 1,Cenário 2,Cenário 3"</formula1>
    </dataValidation>
    <dataValidation type="list" allowBlank="1" showInputMessage="1" showErrorMessage="1" sqref="B4" xr:uid="{947706AB-7120-4E1D-9214-13F160846117}">
      <formula1>"PPU 1,PPU 2,PPU 3"</formula1>
    </dataValidation>
  </dataValidations>
  <pageMargins left="0.511811024" right="0.511811024" top="0.78740157499999996" bottom="0.78740157499999996" header="0.31496062000000002" footer="0.31496062000000002"/>
  <drawing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2598FF-D7B0-4D0D-A231-6C3719D4B5D5}">
  <dimension ref="A1:Y15"/>
  <sheetViews>
    <sheetView workbookViewId="0">
      <selection activeCell="N21" sqref="N21"/>
    </sheetView>
  </sheetViews>
  <sheetFormatPr defaultColWidth="9.125" defaultRowHeight="11.25"/>
  <cols>
    <col min="1" max="1" width="16.375" style="33" bestFit="1" customWidth="1"/>
    <col min="2" max="2" width="1.625" style="32" customWidth="1"/>
    <col min="3" max="4" width="10.625" style="32" bestFit="1" customWidth="1"/>
    <col min="5" max="5" width="13.625" style="32" bestFit="1" customWidth="1"/>
    <col min="6" max="6" width="10.375" style="32" bestFit="1" customWidth="1"/>
    <col min="7" max="8" width="7.875" style="32" bestFit="1" customWidth="1"/>
    <col min="9" max="9" width="1.875" style="32" customWidth="1"/>
    <col min="10" max="11" width="10.625" style="32" bestFit="1" customWidth="1"/>
    <col min="12" max="12" width="2.625" style="32" customWidth="1"/>
    <col min="13" max="13" width="8.25" style="32" bestFit="1" customWidth="1"/>
    <col min="14" max="14" width="10.625" style="32" bestFit="1" customWidth="1"/>
    <col min="15" max="15" width="11" style="32" bestFit="1" customWidth="1"/>
    <col min="16" max="16" width="7.875" style="32" bestFit="1" customWidth="1"/>
    <col min="17" max="17" width="2.625" style="32" customWidth="1"/>
    <col min="18" max="18" width="8.25" style="32" bestFit="1" customWidth="1"/>
    <col min="19" max="19" width="10.625" style="32" bestFit="1" customWidth="1"/>
    <col min="20" max="20" width="11" style="32" bestFit="1" customWidth="1"/>
    <col min="21" max="21" width="7.875" style="32" bestFit="1" customWidth="1"/>
    <col min="22" max="22" width="2.75" style="32" customWidth="1"/>
    <col min="23" max="23" width="8.25" style="32" bestFit="1" customWidth="1"/>
    <col min="24" max="24" width="10.375" style="32" customWidth="1"/>
    <col min="25" max="25" width="11" style="32" bestFit="1" customWidth="1"/>
    <col min="26" max="16384" width="9.125" style="32"/>
  </cols>
  <sheetData>
    <row r="1" spans="1:25" ht="12.75">
      <c r="A1" s="110" t="s">
        <v>62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0"/>
      <c r="U1" s="110"/>
      <c r="V1" s="110"/>
      <c r="W1" s="110"/>
      <c r="X1" s="110"/>
      <c r="Y1" s="110"/>
    </row>
    <row r="3" spans="1:25" ht="15" customHeight="1">
      <c r="A3" s="114" t="s">
        <v>51</v>
      </c>
      <c r="C3" s="113" t="s">
        <v>44</v>
      </c>
      <c r="D3" s="113"/>
      <c r="E3" s="113"/>
      <c r="F3" s="113"/>
      <c r="G3" s="113"/>
      <c r="H3" s="113"/>
      <c r="J3" s="111" t="s">
        <v>45</v>
      </c>
      <c r="K3" s="111"/>
      <c r="M3" s="116" t="s">
        <v>3</v>
      </c>
      <c r="N3" s="116"/>
      <c r="O3" s="116"/>
      <c r="P3" s="116"/>
      <c r="R3" s="106" t="s">
        <v>4</v>
      </c>
      <c r="S3" s="106"/>
      <c r="T3" s="106"/>
      <c r="U3" s="106"/>
      <c r="W3" s="108" t="s">
        <v>46</v>
      </c>
      <c r="X3" s="108"/>
      <c r="Y3" s="108"/>
    </row>
    <row r="4" spans="1:25" ht="45">
      <c r="A4" s="114"/>
      <c r="C4" s="60" t="s">
        <v>67</v>
      </c>
      <c r="D4" s="60" t="s">
        <v>66</v>
      </c>
      <c r="E4" s="60" t="s">
        <v>52</v>
      </c>
      <c r="F4" s="60" t="s">
        <v>53</v>
      </c>
      <c r="G4" s="60" t="s">
        <v>54</v>
      </c>
      <c r="H4" s="60" t="s">
        <v>55</v>
      </c>
      <c r="J4" s="89" t="s">
        <v>67</v>
      </c>
      <c r="K4" s="89" t="s">
        <v>66</v>
      </c>
      <c r="M4" s="92" t="s">
        <v>67</v>
      </c>
      <c r="N4" s="92" t="s">
        <v>66</v>
      </c>
      <c r="O4" s="92" t="s">
        <v>52</v>
      </c>
      <c r="P4" s="92" t="s">
        <v>55</v>
      </c>
      <c r="R4" s="93" t="s">
        <v>67</v>
      </c>
      <c r="S4" s="93" t="s">
        <v>66</v>
      </c>
      <c r="T4" s="93" t="s">
        <v>52</v>
      </c>
      <c r="U4" s="93" t="s">
        <v>55</v>
      </c>
      <c r="W4" s="95" t="s">
        <v>67</v>
      </c>
      <c r="X4" s="95" t="s">
        <v>66</v>
      </c>
      <c r="Y4" s="95" t="s">
        <v>52</v>
      </c>
    </row>
    <row r="5" spans="1:25">
      <c r="A5" s="114"/>
      <c r="C5" s="60" t="s">
        <v>56</v>
      </c>
      <c r="D5" s="60" t="s">
        <v>56</v>
      </c>
      <c r="E5" s="60" t="s">
        <v>57</v>
      </c>
      <c r="F5" s="60" t="s">
        <v>58</v>
      </c>
      <c r="G5" s="60" t="s">
        <v>59</v>
      </c>
      <c r="H5" s="60" t="s">
        <v>60</v>
      </c>
      <c r="J5" s="89" t="s">
        <v>56</v>
      </c>
      <c r="K5" s="89" t="s">
        <v>56</v>
      </c>
      <c r="M5" s="92" t="s">
        <v>56</v>
      </c>
      <c r="N5" s="92" t="s">
        <v>56</v>
      </c>
      <c r="O5" s="92" t="s">
        <v>57</v>
      </c>
      <c r="P5" s="92" t="s">
        <v>60</v>
      </c>
      <c r="R5" s="93" t="s">
        <v>56</v>
      </c>
      <c r="S5" s="93" t="s">
        <v>56</v>
      </c>
      <c r="T5" s="93" t="s">
        <v>57</v>
      </c>
      <c r="U5" s="93" t="s">
        <v>60</v>
      </c>
      <c r="W5" s="95" t="s">
        <v>56</v>
      </c>
      <c r="X5" s="95" t="s">
        <v>56</v>
      </c>
      <c r="Y5" s="95" t="s">
        <v>57</v>
      </c>
    </row>
    <row r="6" spans="1:25" ht="13.5" customHeight="1">
      <c r="A6" s="114"/>
      <c r="C6" s="115" t="s">
        <v>68</v>
      </c>
      <c r="D6" s="115"/>
      <c r="E6" s="115"/>
      <c r="F6" s="115"/>
      <c r="G6" s="115"/>
      <c r="H6" s="115"/>
      <c r="J6" s="112" t="s">
        <v>68</v>
      </c>
      <c r="K6" s="112"/>
      <c r="M6" s="117" t="s">
        <v>68</v>
      </c>
      <c r="N6" s="117"/>
      <c r="O6" s="117"/>
      <c r="P6" s="117"/>
      <c r="R6" s="107" t="s">
        <v>68</v>
      </c>
      <c r="S6" s="107"/>
      <c r="T6" s="107"/>
      <c r="U6" s="107"/>
      <c r="W6" s="109" t="s">
        <v>68</v>
      </c>
      <c r="X6" s="109"/>
      <c r="Y6" s="109"/>
    </row>
    <row r="7" spans="1:25">
      <c r="A7" s="88" t="s">
        <v>11</v>
      </c>
      <c r="C7" s="90">
        <f>Abastecimento!D22/(365*24*60*60)</f>
        <v>0</v>
      </c>
      <c r="D7" s="90">
        <f>Abastecimento!$D$6/(365*24*60*60)</f>
        <v>0</v>
      </c>
      <c r="E7" s="90">
        <v>0</v>
      </c>
      <c r="F7" s="90">
        <v>0</v>
      </c>
      <c r="G7" s="90">
        <v>0</v>
      </c>
      <c r="H7" s="90">
        <v>0</v>
      </c>
      <c r="J7" s="90">
        <f>Aquicultura!D16/365*24*60*60</f>
        <v>0</v>
      </c>
      <c r="K7" s="90">
        <v>0</v>
      </c>
      <c r="M7" s="90">
        <f>Indústria!D24/(365*24*60*60)</f>
        <v>0</v>
      </c>
      <c r="N7" s="90">
        <f>Indústria!D6/(365*24*60*60)</f>
        <v>0</v>
      </c>
      <c r="O7" s="90">
        <v>0</v>
      </c>
      <c r="P7" s="90">
        <v>0</v>
      </c>
      <c r="R7" s="94">
        <f>Irrigação!I16/(365*24*60*60)</f>
        <v>0</v>
      </c>
      <c r="S7" s="90">
        <v>0</v>
      </c>
      <c r="T7" s="90">
        <v>1E-3</v>
      </c>
      <c r="U7" s="90">
        <v>0</v>
      </c>
      <c r="W7" s="90">
        <f>Termoelétrica!D22/(365*24*60*60)</f>
        <v>0</v>
      </c>
      <c r="X7" s="90">
        <f>Termoelétrica!D6/(365*24*60*60)</f>
        <v>0</v>
      </c>
      <c r="Y7" s="90">
        <v>0</v>
      </c>
    </row>
    <row r="8" spans="1:25">
      <c r="A8" s="88" t="s">
        <v>12</v>
      </c>
      <c r="C8" s="90">
        <f>Abastecimento!D23/(365*24*60*60)</f>
        <v>2.7463013698630135E-3</v>
      </c>
      <c r="D8" s="90">
        <f>Abastecimento!$D$7/(365*24*60*60)</f>
        <v>0</v>
      </c>
      <c r="E8" s="90">
        <v>3.5000000000000003E-2</v>
      </c>
      <c r="F8" s="90">
        <v>7.3999999999999996E-2</v>
      </c>
      <c r="G8" s="90">
        <v>2.5000000000000001E-3</v>
      </c>
      <c r="H8" s="90">
        <v>0</v>
      </c>
      <c r="J8" s="90">
        <f>Aquicultura!D17/365*24*60*60</f>
        <v>0</v>
      </c>
      <c r="K8" s="90">
        <v>0</v>
      </c>
      <c r="M8" s="90">
        <f>Indústria!D25/(365*24*60*60)</f>
        <v>0</v>
      </c>
      <c r="N8" s="90">
        <f>Indústria!D7/(365*24*60*60)</f>
        <v>0</v>
      </c>
      <c r="O8" s="90">
        <v>0</v>
      </c>
      <c r="P8" s="90">
        <v>0</v>
      </c>
      <c r="R8" s="94">
        <f>Irrigação!I17/(365*24*60*60)</f>
        <v>0</v>
      </c>
      <c r="S8" s="90">
        <v>0</v>
      </c>
      <c r="T8" s="90">
        <v>1E-3</v>
      </c>
      <c r="U8" s="90">
        <v>0</v>
      </c>
      <c r="W8" s="90">
        <f>Termoelétrica!D23/(365*24*60*60)</f>
        <v>0</v>
      </c>
      <c r="X8" s="90">
        <f>Termoelétrica!D7/(365*24*60*60)</f>
        <v>0</v>
      </c>
      <c r="Y8" s="90">
        <v>0</v>
      </c>
    </row>
    <row r="9" spans="1:25">
      <c r="A9" s="88" t="s">
        <v>13</v>
      </c>
      <c r="C9" s="90">
        <f>Abastecimento!D24/(365*24*60*60)</f>
        <v>0</v>
      </c>
      <c r="D9" s="90">
        <f>Abastecimento!$D$8/(365*24*60*60)</f>
        <v>0</v>
      </c>
      <c r="E9" s="90">
        <v>0</v>
      </c>
      <c r="F9" s="90">
        <v>0</v>
      </c>
      <c r="G9" s="90">
        <v>2.0000000000000001E-4</v>
      </c>
      <c r="H9" s="90">
        <v>0</v>
      </c>
      <c r="J9" s="90">
        <f>Aquicultura!D18/365*24*60*60</f>
        <v>0</v>
      </c>
      <c r="K9" s="90">
        <v>0</v>
      </c>
      <c r="M9" s="90">
        <f>Indústria!D26/(365*24*60*60)</f>
        <v>0</v>
      </c>
      <c r="N9" s="90">
        <f>Indústria!D8/(365*24*60*60)</f>
        <v>0</v>
      </c>
      <c r="O9" s="90">
        <v>0</v>
      </c>
      <c r="P9" s="90">
        <v>0</v>
      </c>
      <c r="R9" s="94">
        <f>Irrigação!I18/(365*24*60*60)</f>
        <v>0</v>
      </c>
      <c r="S9" s="90">
        <v>0</v>
      </c>
      <c r="T9" s="90">
        <v>8.0000000000000002E-3</v>
      </c>
      <c r="U9" s="90">
        <v>0</v>
      </c>
      <c r="W9" s="90">
        <f>Termoelétrica!D24/(365*24*60*60)</f>
        <v>0</v>
      </c>
      <c r="X9" s="90">
        <f>Termoelétrica!D8/(365*24*60*60)</f>
        <v>0</v>
      </c>
      <c r="Y9" s="90">
        <v>0</v>
      </c>
    </row>
    <row r="10" spans="1:25">
      <c r="A10" s="88" t="s">
        <v>14</v>
      </c>
      <c r="C10" s="90">
        <f>SUM(Abastecimento!D25:D33)/(365*24*60*60)</f>
        <v>1.5378496004566211</v>
      </c>
      <c r="D10" s="90">
        <f>SUM(Abastecimento!$D$9:$D$10)/(365*24*60*60)</f>
        <v>1.4279999999999999</v>
      </c>
      <c r="E10" s="90">
        <v>0.40300000000000002</v>
      </c>
      <c r="F10" s="90">
        <v>0.73</v>
      </c>
      <c r="G10" s="90">
        <v>1.1142000000000001</v>
      </c>
      <c r="H10" s="90">
        <v>0.78039999999999998</v>
      </c>
      <c r="J10" s="90">
        <f>Aquicultura!D19/365*24*60*60</f>
        <v>0</v>
      </c>
      <c r="K10" s="90">
        <v>0</v>
      </c>
      <c r="M10" s="90">
        <f>SUM(Indústria!D27:D36)/(365*24*60*60)</f>
        <v>0.27297475266362253</v>
      </c>
      <c r="N10" s="90">
        <f>SUM(Indústria!D9:D15)/(365*24*60*60)</f>
        <v>0.23543264205986808</v>
      </c>
      <c r="O10" s="90">
        <v>0.71099999999999997</v>
      </c>
      <c r="P10" s="90">
        <v>0.74039999999999995</v>
      </c>
      <c r="R10" s="94">
        <f>(SUM(Irrigação!D19:D20))/(365*24*60*60)</f>
        <v>2.0091324200913243E-4</v>
      </c>
      <c r="S10" s="90">
        <v>0</v>
      </c>
      <c r="T10" s="90">
        <v>1.4E-2</v>
      </c>
      <c r="U10" s="90">
        <v>8.0000000000000004E-4</v>
      </c>
      <c r="W10" s="90">
        <f>SUM(Termoelétrica!D25:D33)/(365*24*60*60)</f>
        <v>2.0501472602739725</v>
      </c>
      <c r="X10" s="90">
        <f>SUM(Termoelétrica!D9:D14)/(365*24*60*60)</f>
        <v>1.1408401826484014</v>
      </c>
      <c r="Y10" s="90">
        <v>0.13400000000000001</v>
      </c>
    </row>
    <row r="11" spans="1:25">
      <c r="A11" s="88" t="s">
        <v>15</v>
      </c>
      <c r="C11" s="90">
        <f>Abastecimento!D41/(365*24*60*60)</f>
        <v>2.5337899543378998E-3</v>
      </c>
      <c r="D11" s="90">
        <f>Abastecimento!$D$15</f>
        <v>0</v>
      </c>
      <c r="E11" s="90">
        <v>2.1999999999999999E-2</v>
      </c>
      <c r="F11" s="90">
        <v>0</v>
      </c>
      <c r="G11" s="90">
        <v>1.2699999999999999E-2</v>
      </c>
      <c r="H11" s="90">
        <v>0</v>
      </c>
      <c r="J11" s="90">
        <f>SUM(Aquicultura!D20:D22)/(365*24*60*60)</f>
        <v>0.32585412480974124</v>
      </c>
      <c r="K11" s="90">
        <v>0</v>
      </c>
      <c r="M11" s="90">
        <f>Indústria!D39/(365*24*60*60)</f>
        <v>0</v>
      </c>
      <c r="N11" s="90">
        <f>Indústria!D16/(365*24*60*60)</f>
        <v>0</v>
      </c>
      <c r="O11" s="90">
        <v>0</v>
      </c>
      <c r="P11" s="90">
        <v>0</v>
      </c>
      <c r="R11" s="94">
        <f>SUM(Irrigação!D21:D24)/(365*24*60*60)</f>
        <v>2.0795281582952816E-4</v>
      </c>
      <c r="S11" s="90">
        <v>0</v>
      </c>
      <c r="T11" s="90">
        <v>4.0000000000000001E-3</v>
      </c>
      <c r="U11" s="90">
        <v>5.5999999999999999E-3</v>
      </c>
      <c r="W11" s="90">
        <f>Termoelétrica!D34/(365*24*60*60)</f>
        <v>0</v>
      </c>
      <c r="X11" s="90">
        <v>0</v>
      </c>
      <c r="Y11" s="90">
        <v>0</v>
      </c>
    </row>
    <row r="12" spans="1:25">
      <c r="A12" s="88" t="s">
        <v>16</v>
      </c>
      <c r="C12" s="90">
        <f>Abastecimento!D42/(365*24*60*60)</f>
        <v>3.9222222222222193E-2</v>
      </c>
      <c r="D12" s="90">
        <f>Abastecimento!$D$16</f>
        <v>0</v>
      </c>
      <c r="E12" s="90">
        <v>0.51800000000000002</v>
      </c>
      <c r="F12" s="90">
        <v>0.42</v>
      </c>
      <c r="G12" s="90">
        <v>0.46760000000000002</v>
      </c>
      <c r="H12" s="90">
        <v>0.2243</v>
      </c>
      <c r="J12" s="90">
        <v>0</v>
      </c>
      <c r="K12" s="90">
        <v>0</v>
      </c>
      <c r="M12" s="90">
        <f>SUM(Indústria!D40:D43)/(365*24*60*60)</f>
        <v>1.5498985286656519E-3</v>
      </c>
      <c r="N12" s="90">
        <f>(Indústria!D17+Indústria!D18)/(365*24*60*60)</f>
        <v>6.2572298325722976E-4</v>
      </c>
      <c r="O12" s="90">
        <v>5.9999999999999995E-4</v>
      </c>
      <c r="P12" s="90">
        <v>5.9999999999999995E-4</v>
      </c>
      <c r="R12" s="94">
        <f>(Irrigação!D26+Irrigação!D25)/(365*24*60*60)</f>
        <v>2.7207001522070015E-4</v>
      </c>
      <c r="S12" s="90">
        <v>0</v>
      </c>
      <c r="T12" s="90">
        <v>4.0000000000000001E-3</v>
      </c>
      <c r="U12" s="90">
        <v>3.8999999999999998E-3</v>
      </c>
      <c r="W12" s="90">
        <f>Termoelétrica!D35/(365*24*60*60)</f>
        <v>0</v>
      </c>
      <c r="X12" s="90">
        <v>0</v>
      </c>
      <c r="Y12" s="90">
        <v>0</v>
      </c>
    </row>
    <row r="13" spans="1:25">
      <c r="A13" s="61" t="s">
        <v>61</v>
      </c>
      <c r="C13" s="91">
        <f>SUM(C7:C12)</f>
        <v>1.5823519140030442</v>
      </c>
      <c r="D13" s="91">
        <f t="shared" ref="D13:Y13" si="0">SUM(D7:D12)</f>
        <v>1.4279999999999999</v>
      </c>
      <c r="E13" s="91">
        <f t="shared" si="0"/>
        <v>0.97800000000000009</v>
      </c>
      <c r="F13" s="91">
        <f t="shared" si="0"/>
        <v>1.224</v>
      </c>
      <c r="G13" s="91">
        <f t="shared" si="0"/>
        <v>1.5972</v>
      </c>
      <c r="H13" s="91">
        <f t="shared" si="0"/>
        <v>1.0046999999999999</v>
      </c>
      <c r="J13" s="91">
        <f t="shared" si="0"/>
        <v>0.32585412480974124</v>
      </c>
      <c r="K13" s="91">
        <f t="shared" si="0"/>
        <v>0</v>
      </c>
      <c r="M13" s="91">
        <f t="shared" si="0"/>
        <v>0.27452465119228819</v>
      </c>
      <c r="N13" s="91">
        <f t="shared" si="0"/>
        <v>0.2360583650431253</v>
      </c>
      <c r="O13" s="91">
        <f t="shared" si="0"/>
        <v>0.71160000000000001</v>
      </c>
      <c r="P13" s="91">
        <f t="shared" si="0"/>
        <v>0.74099999999999999</v>
      </c>
      <c r="R13" s="91">
        <f t="shared" si="0"/>
        <v>6.8093607305936069E-4</v>
      </c>
      <c r="S13" s="91">
        <f t="shared" si="0"/>
        <v>0</v>
      </c>
      <c r="T13" s="91">
        <f t="shared" si="0"/>
        <v>3.2000000000000001E-2</v>
      </c>
      <c r="U13" s="91">
        <f t="shared" si="0"/>
        <v>1.03E-2</v>
      </c>
      <c r="W13" s="91">
        <f t="shared" si="0"/>
        <v>2.0501472602739725</v>
      </c>
      <c r="X13" s="91">
        <f t="shared" si="0"/>
        <v>1.1408401826484014</v>
      </c>
      <c r="Y13" s="91">
        <f t="shared" si="0"/>
        <v>0.13400000000000001</v>
      </c>
    </row>
    <row r="15" spans="1:25">
      <c r="E15" s="34"/>
    </row>
  </sheetData>
  <mergeCells count="12">
    <mergeCell ref="R3:U3"/>
    <mergeCell ref="R6:U6"/>
    <mergeCell ref="W3:Y3"/>
    <mergeCell ref="W6:Y6"/>
    <mergeCell ref="A1:Y1"/>
    <mergeCell ref="J3:K3"/>
    <mergeCell ref="J6:K6"/>
    <mergeCell ref="C3:H3"/>
    <mergeCell ref="A3:A6"/>
    <mergeCell ref="C6:H6"/>
    <mergeCell ref="M3:P3"/>
    <mergeCell ref="M6:P6"/>
  </mergeCells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350B76-2D33-47B9-95F9-904225A880FD}">
  <dimension ref="A1:K76"/>
  <sheetViews>
    <sheetView topLeftCell="A46" zoomScale="120" zoomScaleNormal="120" workbookViewId="0">
      <selection activeCell="K56" sqref="K56"/>
    </sheetView>
  </sheetViews>
  <sheetFormatPr defaultColWidth="9.125" defaultRowHeight="11.25"/>
  <cols>
    <col min="1" max="1" width="18.25" style="32" customWidth="1"/>
    <col min="2" max="3" width="13.125" style="32" customWidth="1"/>
    <col min="4" max="4" width="11.75" style="32" customWidth="1"/>
    <col min="5" max="6" width="5" style="32" bestFit="1" customWidth="1"/>
    <col min="7" max="7" width="5.75" style="32" bestFit="1" customWidth="1"/>
    <col min="8" max="8" width="7.875" style="32" bestFit="1" customWidth="1"/>
    <col min="9" max="9" width="16.25" style="32" customWidth="1"/>
    <col min="10" max="10" width="13.625" style="32" bestFit="1" customWidth="1"/>
    <col min="11" max="16384" width="9.125" style="32"/>
  </cols>
  <sheetData>
    <row r="1" spans="1:9">
      <c r="A1" s="127" t="s">
        <v>101</v>
      </c>
      <c r="B1" s="127"/>
      <c r="C1" s="127"/>
      <c r="D1" s="127"/>
      <c r="E1" s="127"/>
      <c r="F1" s="127"/>
      <c r="G1" s="127"/>
      <c r="H1" s="127"/>
      <c r="I1" s="127"/>
    </row>
    <row r="2" spans="1:9">
      <c r="A2" s="83"/>
      <c r="B2" s="83"/>
      <c r="C2" s="83"/>
      <c r="D2" s="83"/>
      <c r="E2" s="83"/>
      <c r="F2" s="83"/>
      <c r="G2" s="83"/>
      <c r="H2" s="83"/>
      <c r="I2" s="83"/>
    </row>
    <row r="3" spans="1:9">
      <c r="A3" s="72" t="s">
        <v>69</v>
      </c>
      <c r="B3" s="130" t="s">
        <v>98</v>
      </c>
      <c r="C3" s="131"/>
      <c r="D3" s="131"/>
      <c r="E3" s="131"/>
      <c r="F3" s="131"/>
      <c r="G3" s="131"/>
      <c r="H3" s="131"/>
      <c r="I3" s="130"/>
    </row>
    <row r="4" spans="1:9">
      <c r="A4" s="114" t="s">
        <v>51</v>
      </c>
      <c r="B4" s="118" t="s">
        <v>107</v>
      </c>
      <c r="C4" s="122" t="s">
        <v>111</v>
      </c>
      <c r="D4" s="115" t="s">
        <v>102</v>
      </c>
      <c r="E4" s="128" t="s">
        <v>37</v>
      </c>
      <c r="F4" s="128"/>
      <c r="G4" s="128"/>
      <c r="H4" s="128"/>
      <c r="I4" s="129" t="s">
        <v>103</v>
      </c>
    </row>
    <row r="5" spans="1:9">
      <c r="A5" s="114"/>
      <c r="B5" s="118"/>
      <c r="C5" s="123"/>
      <c r="D5" s="115"/>
      <c r="E5" s="67" t="s">
        <v>38</v>
      </c>
      <c r="F5" s="67" t="s">
        <v>39</v>
      </c>
      <c r="G5" s="67" t="s">
        <v>40</v>
      </c>
      <c r="H5" s="67" t="s">
        <v>41</v>
      </c>
      <c r="I5" s="129"/>
    </row>
    <row r="6" spans="1:9">
      <c r="A6" s="61" t="s">
        <v>11</v>
      </c>
      <c r="B6" s="63" t="s">
        <v>104</v>
      </c>
      <c r="C6" s="86" t="s">
        <v>104</v>
      </c>
      <c r="D6" s="70">
        <v>0</v>
      </c>
      <c r="E6" s="66" t="s">
        <v>104</v>
      </c>
      <c r="F6" s="66" t="s">
        <v>104</v>
      </c>
      <c r="G6" s="66" t="s">
        <v>104</v>
      </c>
      <c r="H6" s="66" t="s">
        <v>104</v>
      </c>
      <c r="I6" s="71" cm="1">
        <f t="array" ref="I6">_xlfn.IFS(C6="Captação",(D6*E6)+(D6*F6),C6="lançamento",D6*(1-F6)*(1-G6*H6),C6="Captação e Lançamento",(D6*E6)+(D6*F6)+D6*(1-F6)*(1-G6*H6),D6=0,0)</f>
        <v>0</v>
      </c>
    </row>
    <row r="7" spans="1:9">
      <c r="A7" s="61" t="s">
        <v>12</v>
      </c>
      <c r="B7" s="63" t="s">
        <v>104</v>
      </c>
      <c r="C7" s="86" t="s">
        <v>104</v>
      </c>
      <c r="D7" s="70">
        <v>0</v>
      </c>
      <c r="E7" s="66" t="s">
        <v>104</v>
      </c>
      <c r="F7" s="66" t="s">
        <v>104</v>
      </c>
      <c r="G7" s="66" t="s">
        <v>104</v>
      </c>
      <c r="H7" s="66" t="s">
        <v>104</v>
      </c>
      <c r="I7" s="71" cm="1">
        <f t="array" ref="I7">_xlfn.IFS(C7="Captação",(D7*E7)+(D7*F7),C7="lançamento",D7*(1-F7)*(1-G7*H7),C7="Captação e Lançamento",(D7*E7)+(D7*F7)+D7*(1-F7)*(1-G7*H7),D7=0,0)</f>
        <v>0</v>
      </c>
    </row>
    <row r="8" spans="1:9">
      <c r="A8" s="61" t="s">
        <v>13</v>
      </c>
      <c r="B8" s="63" t="s">
        <v>104</v>
      </c>
      <c r="C8" s="63" t="s">
        <v>104</v>
      </c>
      <c r="D8" s="71">
        <v>0</v>
      </c>
      <c r="E8" s="62" t="s">
        <v>104</v>
      </c>
      <c r="F8" s="62" t="s">
        <v>104</v>
      </c>
      <c r="G8" s="62" t="s">
        <v>104</v>
      </c>
      <c r="H8" s="62" t="s">
        <v>104</v>
      </c>
      <c r="I8" s="71" cm="1">
        <f t="array" ref="I8">_xlfn.IFS(C8="Captação",(D8*E8)+(D8*F8),C8="lançamento",D8*(1-F8)*(1-G8*H8),C8="Captação e Lançamento",(D8*E8)+(D8*F8)+D8*(1-F8)*(1-G8*H8),D8=0,0)</f>
        <v>0</v>
      </c>
    </row>
    <row r="9" spans="1:9">
      <c r="A9" s="119" t="s">
        <v>14</v>
      </c>
      <c r="B9" s="62">
        <v>330005096350</v>
      </c>
      <c r="C9" s="62" t="s">
        <v>105</v>
      </c>
      <c r="D9" s="71">
        <v>31788288</v>
      </c>
      <c r="E9" s="64">
        <v>0.4</v>
      </c>
      <c r="F9" s="64">
        <v>0.2</v>
      </c>
      <c r="G9" s="62" t="s">
        <v>104</v>
      </c>
      <c r="H9" s="62" t="s">
        <v>104</v>
      </c>
      <c r="I9" s="71" cm="1">
        <f t="array" ref="I9">_xlfn.IFS(C9="Captação",(D9*E9)+(D9*F9),C9="lançamento",D9*(1-F9)*(1-G9*H9),C9="Captação e Lançamento",(D9*E9)+(D9*F9)+D9*(1-F9)*(1-G9*H9),D9=0,0)</f>
        <v>19072972.800000001</v>
      </c>
    </row>
    <row r="10" spans="1:9">
      <c r="A10" s="120"/>
      <c r="B10" s="62">
        <v>330026654211</v>
      </c>
      <c r="C10" s="62" t="s">
        <v>105</v>
      </c>
      <c r="D10" s="71">
        <v>13245120</v>
      </c>
      <c r="E10" s="64">
        <v>0.4</v>
      </c>
      <c r="F10" s="64">
        <v>0.2</v>
      </c>
      <c r="G10" s="62" t="s">
        <v>104</v>
      </c>
      <c r="H10" s="62" t="s">
        <v>104</v>
      </c>
      <c r="I10" s="71" cm="1">
        <f t="array" ref="I10">_xlfn.IFS(C10="Captação",(D10*E10)+(D10*F10),C10="lançamento",D10*(1-F10)*(1-G10*H10),C10="Captação e Lançamento",(D10*E10)+(D10*F10)+D10*(1-F10)*(1-G10*H10),D10=0,0)</f>
        <v>7947072</v>
      </c>
    </row>
    <row r="11" spans="1:9">
      <c r="A11" s="120"/>
      <c r="B11" s="62">
        <v>330008983640</v>
      </c>
      <c r="C11" s="62" t="s">
        <v>106</v>
      </c>
      <c r="D11" s="71">
        <v>938984.39999999898</v>
      </c>
      <c r="E11" s="66" t="s">
        <v>104</v>
      </c>
      <c r="F11" s="64">
        <v>0.8</v>
      </c>
      <c r="G11" s="64">
        <v>1</v>
      </c>
      <c r="H11" s="84">
        <v>0.95410171878500782</v>
      </c>
      <c r="I11" s="71" cm="1">
        <f t="array" ref="I11">_xlfn.IFS(C11="Captação",(D11*E11)+(D11*F11),C11="lançamento",D11*(1-F11)*(1-G11*H11),C11="Captação e Lançamento",(D11*E11)+(D11*F11)+D11*(1-F11)*(1-G11*H11),D11=0,0)</f>
        <v>8619.5540095381275</v>
      </c>
    </row>
    <row r="12" spans="1:9">
      <c r="A12" s="120"/>
      <c r="B12" s="62">
        <v>330022441086</v>
      </c>
      <c r="C12" s="62" t="s">
        <v>106</v>
      </c>
      <c r="D12" s="71">
        <v>11652990</v>
      </c>
      <c r="E12" s="66" t="s">
        <v>104</v>
      </c>
      <c r="F12" s="64">
        <v>0.8</v>
      </c>
      <c r="G12" s="64">
        <v>1</v>
      </c>
      <c r="H12" s="84">
        <v>0.96037990196078427</v>
      </c>
      <c r="I12" s="71" cm="1">
        <f t="array" ref="I12">_xlfn.IFS(C12="Captação",(D12*E12)+(D12*F12),C12="lançamento",D12*(1-F12)*(1-G12*H12),C12="Captação e Lançamento",(D12*E12)+(D12*F12)+D12*(1-F12)*(1-G12*H12),D12=0,0)</f>
        <v>92338.521250000093</v>
      </c>
    </row>
    <row r="13" spans="1:9">
      <c r="A13" s="120"/>
      <c r="B13" s="62">
        <v>330027870554</v>
      </c>
      <c r="C13" s="62" t="s">
        <v>106</v>
      </c>
      <c r="D13" s="71">
        <v>105853.44</v>
      </c>
      <c r="E13" s="66" t="s">
        <v>104</v>
      </c>
      <c r="F13" s="64">
        <v>0.8</v>
      </c>
      <c r="G13" s="64">
        <v>1</v>
      </c>
      <c r="H13" s="84">
        <v>0.80645161290322576</v>
      </c>
      <c r="I13" s="71" cm="1">
        <f t="array" ref="I13">_xlfn.IFS(C13="Captação",(D13*E13)+(D13*F13),C13="lançamento",D13*(1-F13)*(1-G13*H13),C13="Captação e Lançamento",(D13*E13)+(D13*F13)+D13*(1-F13)*(1-G13*H13),D13=0,0)</f>
        <v>4097.5525161290325</v>
      </c>
    </row>
    <row r="14" spans="1:9">
      <c r="A14" s="121"/>
      <c r="B14" s="62">
        <v>330030587078</v>
      </c>
      <c r="C14" s="62" t="s">
        <v>106</v>
      </c>
      <c r="D14" s="71">
        <v>79905.600000000006</v>
      </c>
      <c r="E14" s="66" t="s">
        <v>104</v>
      </c>
      <c r="F14" s="64">
        <v>0.8</v>
      </c>
      <c r="G14" s="64">
        <v>1</v>
      </c>
      <c r="H14" s="84">
        <v>0.88501026694045171</v>
      </c>
      <c r="I14" s="71" cm="1">
        <f t="array" ref="I14">_xlfn.IFS(C14="Captação",(D14*E14)+(D14*F14),C14="lançamento",D14*(1-F14)*(1-G14*H14),C14="Captação e Lançamento",(D14*E14)+(D14*F14)+D14*(1-F14)*(1-G14*H14),D14=0,0)</f>
        <v>1837.664722792608</v>
      </c>
    </row>
    <row r="15" spans="1:9">
      <c r="A15" s="61" t="s">
        <v>15</v>
      </c>
      <c r="B15" s="63" t="s">
        <v>104</v>
      </c>
      <c r="C15" s="63" t="s">
        <v>104</v>
      </c>
      <c r="D15" s="71">
        <v>0</v>
      </c>
      <c r="E15" s="62" t="s">
        <v>104</v>
      </c>
      <c r="F15" s="62" t="s">
        <v>104</v>
      </c>
      <c r="G15" s="62" t="s">
        <v>104</v>
      </c>
      <c r="H15" s="62" t="s">
        <v>104</v>
      </c>
      <c r="I15" s="71" cm="1">
        <f t="array" ref="I15">_xlfn.IFS(C15="Captação",(D15*E15)+(D15*F15),C15="lançamento",D15*(1-F15)*(1-G15*H15),C15="Captação e Lançamento",(D15*E15)+(D15*F15)+D15*(1-F15)*(1-G15*H15),D15=0,0)</f>
        <v>0</v>
      </c>
    </row>
    <row r="16" spans="1:9">
      <c r="A16" s="61" t="s">
        <v>16</v>
      </c>
      <c r="B16" s="63" t="s">
        <v>104</v>
      </c>
      <c r="C16" s="63" t="s">
        <v>104</v>
      </c>
      <c r="D16" s="71">
        <v>0</v>
      </c>
      <c r="E16" s="62" t="s">
        <v>104</v>
      </c>
      <c r="F16" s="62" t="s">
        <v>104</v>
      </c>
      <c r="G16" s="62" t="s">
        <v>104</v>
      </c>
      <c r="H16" s="62" t="s">
        <v>104</v>
      </c>
      <c r="I16" s="71" cm="1">
        <f t="array" ref="I16">_xlfn.IFS(C16="Captação",(D16*E16)+(D16*F16),C16="lançamento",D16*(1-F16)*(1-G16*H16),C16="Captação e Lançamento",(D16*E16)+(D16*F16)+D16*(1-F16)*(1-G16*H16),D16=0,0)</f>
        <v>0</v>
      </c>
    </row>
    <row r="17" spans="1:9">
      <c r="A17" s="59"/>
      <c r="B17" s="80"/>
      <c r="C17" s="80"/>
      <c r="D17" s="81"/>
      <c r="E17" s="82"/>
      <c r="F17" s="82"/>
      <c r="G17" s="82"/>
      <c r="H17" s="82"/>
      <c r="I17" s="81"/>
    </row>
    <row r="18" spans="1:9">
      <c r="A18" s="59"/>
      <c r="B18" s="80"/>
      <c r="C18" s="80"/>
      <c r="D18" s="81"/>
      <c r="E18" s="82"/>
      <c r="F18" s="82"/>
      <c r="G18" s="82"/>
      <c r="H18" s="82"/>
      <c r="I18" s="81"/>
    </row>
    <row r="19" spans="1:9">
      <c r="A19" s="72" t="s">
        <v>71</v>
      </c>
      <c r="B19" s="130" t="s">
        <v>97</v>
      </c>
      <c r="C19" s="130"/>
      <c r="D19" s="130"/>
      <c r="E19" s="130"/>
      <c r="F19" s="130"/>
      <c r="G19" s="130"/>
      <c r="H19" s="130"/>
      <c r="I19" s="130"/>
    </row>
    <row r="20" spans="1:9" ht="11.25" customHeight="1">
      <c r="A20" s="114" t="s">
        <v>51</v>
      </c>
      <c r="B20" s="118" t="s">
        <v>107</v>
      </c>
      <c r="C20" s="122" t="s">
        <v>111</v>
      </c>
      <c r="D20" s="115" t="s">
        <v>102</v>
      </c>
      <c r="E20" s="128" t="s">
        <v>37</v>
      </c>
      <c r="F20" s="128"/>
      <c r="G20" s="128"/>
      <c r="H20" s="128"/>
      <c r="I20" s="129" t="s">
        <v>103</v>
      </c>
    </row>
    <row r="21" spans="1:9">
      <c r="A21" s="114"/>
      <c r="B21" s="118"/>
      <c r="C21" s="123"/>
      <c r="D21" s="115"/>
      <c r="E21" s="67" t="s">
        <v>38</v>
      </c>
      <c r="F21" s="67" t="s">
        <v>39</v>
      </c>
      <c r="G21" s="67" t="s">
        <v>40</v>
      </c>
      <c r="H21" s="67" t="s">
        <v>41</v>
      </c>
      <c r="I21" s="129"/>
    </row>
    <row r="22" spans="1:9">
      <c r="A22" s="61" t="s">
        <v>11</v>
      </c>
      <c r="B22" s="63" t="s">
        <v>104</v>
      </c>
      <c r="C22" s="86"/>
      <c r="D22" s="70">
        <v>0</v>
      </c>
      <c r="E22" s="66" t="s">
        <v>104</v>
      </c>
      <c r="F22" s="66" t="s">
        <v>104</v>
      </c>
      <c r="G22" s="66" t="s">
        <v>104</v>
      </c>
      <c r="H22" s="66" t="s">
        <v>104</v>
      </c>
      <c r="I22" s="71" cm="1">
        <f t="array" ref="I22">_xlfn.IFS(C22="Captação",(D22*E22)+(D22*F22),C22="lançamento",D22*(1-F22)*(1-G22*H22),C22="Captação e Lançamento",(D22*E22)+(D22*F22)+D22*(1-F22)*(1-G22*H22),D22=0,0)</f>
        <v>0</v>
      </c>
    </row>
    <row r="23" spans="1:9">
      <c r="A23" s="61" t="s">
        <v>12</v>
      </c>
      <c r="B23" s="62">
        <v>330029837090</v>
      </c>
      <c r="C23" s="62" t="s">
        <v>105</v>
      </c>
      <c r="D23" s="71">
        <v>86607.360000000001</v>
      </c>
      <c r="E23" s="64">
        <v>0.4</v>
      </c>
      <c r="F23" s="64">
        <v>0.2</v>
      </c>
      <c r="G23" s="66" t="s">
        <v>104</v>
      </c>
      <c r="H23" s="66" t="s">
        <v>104</v>
      </c>
      <c r="I23" s="71" cm="1">
        <f t="array" ref="I23">_xlfn.IFS(C23="Captação",(D23*E23)+(D23*F23),C23="lançamento",D23*(1-F23)*(1-G23*H23),C23="Captação e Lançamento",(D23*E23)+(D23*F23)+D23*(1-F23)*(1-G23*H23),D23=0,0)</f>
        <v>51964.416000000005</v>
      </c>
    </row>
    <row r="24" spans="1:9">
      <c r="A24" s="61" t="s">
        <v>13</v>
      </c>
      <c r="B24" s="63" t="s">
        <v>104</v>
      </c>
      <c r="C24" s="63"/>
      <c r="D24" s="71">
        <v>0</v>
      </c>
      <c r="E24" s="62" t="s">
        <v>104</v>
      </c>
      <c r="F24" s="62" t="s">
        <v>104</v>
      </c>
      <c r="G24" s="62" t="s">
        <v>104</v>
      </c>
      <c r="H24" s="62" t="s">
        <v>104</v>
      </c>
      <c r="I24" s="71" cm="1">
        <f t="array" ref="I24">_xlfn.IFS(C24="Captação",(D24*E24)+(D24*F24),C24="lançamento",D24*(1-F24)*(1-G24*H24),C24="Captação e Lançamento",(D24*E24)+(D24*F24)+D24*(1-F24)*(1-G24*H24),D24=0,0)</f>
        <v>0</v>
      </c>
    </row>
    <row r="25" spans="1:9">
      <c r="A25" s="124" t="s">
        <v>14</v>
      </c>
      <c r="B25" s="62">
        <v>330005096350</v>
      </c>
      <c r="C25" s="62" t="s">
        <v>105</v>
      </c>
      <c r="D25" s="71">
        <v>31788288</v>
      </c>
      <c r="E25" s="64">
        <v>0.4</v>
      </c>
      <c r="F25" s="64">
        <v>0.2</v>
      </c>
      <c r="G25" s="62" t="s">
        <v>104</v>
      </c>
      <c r="H25" s="62" t="s">
        <v>104</v>
      </c>
      <c r="I25" s="71" cm="1">
        <f t="array" ref="I25">_xlfn.IFS(C25="Captação",(D25*E25)+(D25*F25),C25="lançamento",D25*(1-F25)*(1-G25*H25),C25="Captação e Lançamento",(D25*E25)+(D25*F25)+D25*(1-F25)*(1-G25*H25),D25=0,0)</f>
        <v>19072972.800000001</v>
      </c>
    </row>
    <row r="26" spans="1:9">
      <c r="A26" s="125"/>
      <c r="B26" s="62">
        <v>330026478146</v>
      </c>
      <c r="C26" s="62" t="s">
        <v>105</v>
      </c>
      <c r="D26" s="71">
        <v>31536</v>
      </c>
      <c r="E26" s="64">
        <v>0.4</v>
      </c>
      <c r="F26" s="64">
        <v>0.2</v>
      </c>
      <c r="G26" s="62" t="s">
        <v>104</v>
      </c>
      <c r="H26" s="62" t="s">
        <v>104</v>
      </c>
      <c r="I26" s="71" cm="1">
        <f t="array" ref="I26">_xlfn.IFS(C26="Captação",(D26*E26)+(D26*F26),C26="lançamento",D26*(1-F26)*(1-G26*H26),C26="Captação e Lançamento",(D26*E26)+(D26*F26)+D26*(1-F26)*(1-G26*H26),D26=0,0)</f>
        <v>18921.600000000002</v>
      </c>
    </row>
    <row r="27" spans="1:9">
      <c r="A27" s="125"/>
      <c r="B27" s="62">
        <v>330026478308</v>
      </c>
      <c r="C27" s="62" t="s">
        <v>105</v>
      </c>
      <c r="D27" s="71">
        <v>189216</v>
      </c>
      <c r="E27" s="64">
        <v>0.4</v>
      </c>
      <c r="F27" s="64">
        <v>0.2</v>
      </c>
      <c r="G27" s="62" t="s">
        <v>104</v>
      </c>
      <c r="H27" s="62" t="s">
        <v>104</v>
      </c>
      <c r="I27" s="71" cm="1">
        <f t="array" ref="I27">_xlfn.IFS(C27="Captação",(D27*E27)+(D27*F27),C27="lançamento",D27*(1-F27)*(1-G27*H27),C27="Captação e Lançamento",(D27*E27)+(D27*F27)+D27*(1-F27)*(1-G27*H27),D27=0,0)</f>
        <v>113529.60000000001</v>
      </c>
    </row>
    <row r="28" spans="1:9">
      <c r="A28" s="125"/>
      <c r="B28" s="62">
        <v>330026478499</v>
      </c>
      <c r="C28" s="62" t="s">
        <v>105</v>
      </c>
      <c r="D28" s="71">
        <v>536112</v>
      </c>
      <c r="E28" s="64">
        <v>0.4</v>
      </c>
      <c r="F28" s="64">
        <v>0.2</v>
      </c>
      <c r="G28" s="62" t="s">
        <v>104</v>
      </c>
      <c r="H28" s="62" t="s">
        <v>104</v>
      </c>
      <c r="I28" s="71" cm="1">
        <f t="array" ref="I28">_xlfn.IFS(C28="Captação",(D28*E28)+(D28*F28),C28="lançamento",D28*(1-F28)*(1-G28*H28),C28="Captação e Lançamento",(D28*E28)+(D28*F28)+D28*(1-F28)*(1-G28*H28),D28=0,0)</f>
        <v>321667.20000000001</v>
      </c>
    </row>
    <row r="29" spans="1:9">
      <c r="A29" s="125"/>
      <c r="B29" s="62">
        <v>330026654211</v>
      </c>
      <c r="C29" s="62" t="s">
        <v>105</v>
      </c>
      <c r="D29" s="71">
        <v>13245120</v>
      </c>
      <c r="E29" s="64">
        <v>0.4</v>
      </c>
      <c r="F29" s="64">
        <v>0.2</v>
      </c>
      <c r="G29" s="66" t="s">
        <v>104</v>
      </c>
      <c r="H29" s="66" t="s">
        <v>104</v>
      </c>
      <c r="I29" s="71" cm="1">
        <f t="array" ref="I29">_xlfn.IFS(C29="Captação",(D29*E29)+(D29*F29),C29="lançamento",D29*(1-F29)*(1-G29*H29),C29="Captação e Lançamento",(D29*E29)+(D29*F29)+D29*(1-F29)*(1-G29*H29),D29=0,0)</f>
        <v>7947072</v>
      </c>
    </row>
    <row r="30" spans="1:9">
      <c r="A30" s="125"/>
      <c r="B30" s="62">
        <v>330026830559</v>
      </c>
      <c r="C30" s="62" t="s">
        <v>105</v>
      </c>
      <c r="D30" s="71">
        <v>693792</v>
      </c>
      <c r="E30" s="64">
        <v>0.4</v>
      </c>
      <c r="F30" s="64">
        <v>0.2</v>
      </c>
      <c r="G30" s="66" t="s">
        <v>104</v>
      </c>
      <c r="H30" s="66" t="s">
        <v>104</v>
      </c>
      <c r="I30" s="71" cm="1">
        <f t="array" ref="I30">_xlfn.IFS(C30="Captação",(D30*E30)+(D30*F30),C30="lançamento",D30*(1-F30)*(1-G30*H30),C30="Captação e Lançamento",(D30*E30)+(D30*F30)+D30*(1-F30)*(1-G30*H30),D30=0,0)</f>
        <v>416275.19999999995</v>
      </c>
    </row>
    <row r="31" spans="1:9">
      <c r="A31" s="125"/>
      <c r="B31" s="62">
        <v>330032330376</v>
      </c>
      <c r="C31" s="62" t="s">
        <v>105</v>
      </c>
      <c r="D31" s="71">
        <v>60300</v>
      </c>
      <c r="E31" s="64">
        <v>0.4</v>
      </c>
      <c r="F31" s="64">
        <v>0.2</v>
      </c>
      <c r="G31" s="62" t="s">
        <v>104</v>
      </c>
      <c r="H31" s="62" t="s">
        <v>104</v>
      </c>
      <c r="I31" s="71" cm="1">
        <f t="array" ref="I31">_xlfn.IFS(C31="Captação",(D31*E31)+(D31*F31),C31="lançamento",D31*(1-F31)*(1-G31*H31),C31="Captação e Lançamento",(D31*E31)+(D31*F31)+D31*(1-F31)*(1-G31*H31),D31=0,0)</f>
        <v>36180</v>
      </c>
    </row>
    <row r="32" spans="1:9">
      <c r="A32" s="125"/>
      <c r="B32" s="62">
        <v>330034105671</v>
      </c>
      <c r="C32" s="62" t="s">
        <v>105</v>
      </c>
      <c r="D32" s="71">
        <v>61101</v>
      </c>
      <c r="E32" s="64">
        <v>0.4</v>
      </c>
      <c r="F32" s="64">
        <v>0.2</v>
      </c>
      <c r="G32" s="62" t="s">
        <v>104</v>
      </c>
      <c r="H32" s="62" t="s">
        <v>104</v>
      </c>
      <c r="I32" s="71" cm="1">
        <f t="array" ref="I32">_xlfn.IFS(C32="Captação",(D32*E32)+(D32*F32),C32="lançamento",D32*(1-F32)*(1-G32*H32),C32="Captação e Lançamento",(D32*E32)+(D32*F32)+D32*(1-F32)*(1-G32*H32),D32=0,0)</f>
        <v>36660.600000000006</v>
      </c>
    </row>
    <row r="33" spans="1:11">
      <c r="A33" s="125"/>
      <c r="B33" s="62">
        <v>330040172148</v>
      </c>
      <c r="C33" s="62" t="s">
        <v>105</v>
      </c>
      <c r="D33" s="71">
        <v>1892160</v>
      </c>
      <c r="E33" s="64">
        <v>0.4</v>
      </c>
      <c r="F33" s="64">
        <v>0.2</v>
      </c>
      <c r="G33" s="62" t="s">
        <v>104</v>
      </c>
      <c r="H33" s="62" t="s">
        <v>104</v>
      </c>
      <c r="I33" s="71" cm="1">
        <f t="array" ref="I33">_xlfn.IFS(C33="Captação",(D33*E33)+(D33*F33),C33="lançamento",D33*(1-F33)*(1-G33*H33),C33="Captação e Lançamento",(D33*E33)+(D33*F33)+D33*(1-F33)*(1-G33*H33),D33=0,0)</f>
        <v>1135296</v>
      </c>
    </row>
    <row r="34" spans="1:11">
      <c r="A34" s="125"/>
      <c r="B34" s="62">
        <v>330007455683</v>
      </c>
      <c r="C34" s="62" t="s">
        <v>106</v>
      </c>
      <c r="D34" s="71">
        <v>1236911.9999999991</v>
      </c>
      <c r="E34" s="66" t="s">
        <v>104</v>
      </c>
      <c r="F34" s="64">
        <v>0.8</v>
      </c>
      <c r="G34" s="64">
        <v>1</v>
      </c>
      <c r="H34" s="84">
        <v>0.98760000000000003</v>
      </c>
      <c r="I34" s="71" cm="1">
        <f t="array" ref="I34">_xlfn.IFS(C34="Captação",(D34*E34)+(D34*F34),C34="lançamento",D34*(1-F34)*(1-G34*H34),C34="Captação e Lançamento",(D34*E34)+(D34*F34)+D34*(1-F34)*(1-G34*H34),D34=0,0)</f>
        <v>3067.5417599999887</v>
      </c>
    </row>
    <row r="35" spans="1:11">
      <c r="A35" s="125"/>
      <c r="B35" s="62">
        <v>330008983640</v>
      </c>
      <c r="C35" s="62" t="s">
        <v>106</v>
      </c>
      <c r="D35" s="71">
        <v>24685680</v>
      </c>
      <c r="E35" s="66" t="s">
        <v>104</v>
      </c>
      <c r="F35" s="64">
        <v>0.8</v>
      </c>
      <c r="G35" s="64">
        <v>1</v>
      </c>
      <c r="H35" s="84">
        <v>0.95410171878500782</v>
      </c>
      <c r="I35" s="71" cm="1">
        <f t="array" ref="I35">_xlfn.IFS(C35="Captação",(D35*E35)+(D35*F35),C35="lançamento",D35*(1-F35)*(1-G35*H35),C35="Captação e Lançamento",(D35*E35)+(D35*F35)+D35*(1-F35)*(1-G35*H35),D35=0,0)</f>
        <v>226606.05652466157</v>
      </c>
    </row>
    <row r="36" spans="1:11">
      <c r="A36" s="125"/>
      <c r="B36" s="62">
        <v>330022441086</v>
      </c>
      <c r="C36" s="62" t="s">
        <v>106</v>
      </c>
      <c r="D36" s="71">
        <v>4742.3999999999896</v>
      </c>
      <c r="E36" s="66" t="s">
        <v>104</v>
      </c>
      <c r="F36" s="64">
        <v>0.8</v>
      </c>
      <c r="G36" s="64">
        <v>1</v>
      </c>
      <c r="H36" s="84">
        <v>0.96037990196078427</v>
      </c>
      <c r="I36" s="71" cm="1">
        <f t="array" ref="I36">_xlfn.IFS(C36="Captação",(D36*E36)+(D36*F36),C36="lançamento",D36*(1-F36)*(1-G36*H36),C36="Captação e Lançamento",(D36*E36)+(D36*F36)+D36*(1-F36)*(1-G36*H36),D36=0,0)</f>
        <v>37.578870588235247</v>
      </c>
    </row>
    <row r="37" spans="1:11">
      <c r="A37" s="125"/>
      <c r="B37" s="62">
        <v>330026432235</v>
      </c>
      <c r="C37" s="62" t="s">
        <v>106</v>
      </c>
      <c r="D37" s="71">
        <v>938984.39999999898</v>
      </c>
      <c r="E37" s="66" t="s">
        <v>104</v>
      </c>
      <c r="F37" s="64">
        <v>0.8</v>
      </c>
      <c r="G37" s="64">
        <v>1</v>
      </c>
      <c r="H37" s="84">
        <v>0.9619527726187318</v>
      </c>
      <c r="I37" s="71" cm="1">
        <f t="array" ref="I37">_xlfn.IFS(C37="Captação",(D37*E37)+(D37*F37),C37="lançamento",D37*(1-F37)*(1-G37*H37),C37="Captação e Lançamento",(D37*E37)+(D37*F37)+D37*(1-F37)*(1-G37*H37),D37=0,0)</f>
        <v>7145.1505948527283</v>
      </c>
    </row>
    <row r="38" spans="1:11">
      <c r="A38" s="125"/>
      <c r="B38" s="62">
        <v>330027870554</v>
      </c>
      <c r="C38" s="62" t="s">
        <v>106</v>
      </c>
      <c r="D38" s="71">
        <v>11652990</v>
      </c>
      <c r="E38" s="66" t="s">
        <v>104</v>
      </c>
      <c r="F38" s="64">
        <v>0.8</v>
      </c>
      <c r="G38" s="64">
        <v>1</v>
      </c>
      <c r="H38" s="84">
        <v>0.80645161290322576</v>
      </c>
      <c r="I38" s="71" cm="1">
        <f t="array" ref="I38">_xlfn.IFS(C38="Captação",(D38*E38)+(D38*F38),C38="lançamento",D38*(1-F38)*(1-G38*H38),C38="Captação e Lançamento",(D38*E38)+(D38*F38)+D38*(1-F38)*(1-G38*H38),D38=0,0)</f>
        <v>451083.48387096776</v>
      </c>
    </row>
    <row r="39" spans="1:11">
      <c r="A39" s="125"/>
      <c r="B39" s="62">
        <v>330030587078</v>
      </c>
      <c r="C39" s="62" t="s">
        <v>106</v>
      </c>
      <c r="D39" s="71">
        <v>59042.400000000001</v>
      </c>
      <c r="E39" s="66" t="s">
        <v>104</v>
      </c>
      <c r="F39" s="64">
        <v>0.8</v>
      </c>
      <c r="G39" s="64">
        <v>1</v>
      </c>
      <c r="H39" s="84">
        <v>0.88501026694045171</v>
      </c>
      <c r="I39" s="71" cm="1">
        <f t="array" ref="I39">_xlfn.IFS(C39="Captação",(D39*E39)+(D39*F39),C39="lançamento",D39*(1-F39)*(1-G39*H39),C39="Captação e Lançamento",(D39*E39)+(D39*F39)+D39*(1-F39)*(1-G39*H39),D39=0,0)</f>
        <v>1357.8539630390146</v>
      </c>
    </row>
    <row r="40" spans="1:11">
      <c r="A40" s="126"/>
      <c r="B40" s="62">
        <v>330032456558</v>
      </c>
      <c r="C40" s="62" t="s">
        <v>106</v>
      </c>
      <c r="D40" s="71">
        <v>105853.44</v>
      </c>
      <c r="E40" s="66" t="s">
        <v>104</v>
      </c>
      <c r="F40" s="64">
        <v>0.8</v>
      </c>
      <c r="G40" s="64">
        <v>1</v>
      </c>
      <c r="H40" s="84">
        <v>0</v>
      </c>
      <c r="I40" s="71" cm="1">
        <f t="array" ref="I40">_xlfn.IFS(C40="Captação",(D40*E40)+(D40*F40),C40="lançamento",D40*(1-F40)*(1-G40*H40),C40="Captação e Lançamento",(D40*E40)+(D40*F40)+D40*(1-F40)*(1-G40*H40),D40=0,0)</f>
        <v>21170.687999999995</v>
      </c>
      <c r="K40" s="87"/>
    </row>
    <row r="41" spans="1:11" ht="22.5">
      <c r="A41" s="61" t="s">
        <v>15</v>
      </c>
      <c r="B41" s="62">
        <v>330005059748</v>
      </c>
      <c r="C41" s="62" t="s">
        <v>112</v>
      </c>
      <c r="D41" s="71">
        <v>79905.600000000006</v>
      </c>
      <c r="E41" s="64">
        <v>0.4</v>
      </c>
      <c r="F41" s="64">
        <v>0.2</v>
      </c>
      <c r="G41" s="64">
        <v>1</v>
      </c>
      <c r="H41" s="84">
        <v>0.84</v>
      </c>
      <c r="I41" s="71" cm="1">
        <f t="array" ref="I41">_xlfn.IFS(C41="Captação",(D41*E41)+(D41*F41),C41="lançamento",D41*(1-F41)*(1-G41*H41),C41="Captação e Lançamento",(D41*E41)+(D41*F41)+D41*(1-F41)*(1-G41*H41),D41=0,0)</f>
        <v>58171.276800000014</v>
      </c>
    </row>
    <row r="42" spans="1:11">
      <c r="A42" s="119" t="s">
        <v>16</v>
      </c>
      <c r="B42" s="62">
        <v>330040184073</v>
      </c>
      <c r="C42" s="62" t="s">
        <v>105</v>
      </c>
      <c r="D42" s="71">
        <v>1236911.9999999991</v>
      </c>
      <c r="E42" s="64">
        <v>0.4</v>
      </c>
      <c r="F42" s="64">
        <v>0.2</v>
      </c>
      <c r="G42" s="62" t="s">
        <v>104</v>
      </c>
      <c r="H42" s="62" t="s">
        <v>104</v>
      </c>
      <c r="I42" s="71" cm="1">
        <f t="array" ref="I42">_xlfn.IFS(C42="Captação",(D42*E42)+(D42*F42),C42="lançamento",D42*(1-F42)*(1-G42*H42),C42="Captação e Lançamento",(D42*E42)+(D42*F42)+D42*(1-F42)*(1-G42*H42),D42=0,0)</f>
        <v>742147.19999999949</v>
      </c>
    </row>
    <row r="43" spans="1:11">
      <c r="A43" s="120"/>
      <c r="B43" s="62">
        <v>330026520606</v>
      </c>
      <c r="C43" s="62" t="s">
        <v>106</v>
      </c>
      <c r="D43" s="71">
        <v>760735.68</v>
      </c>
      <c r="E43" s="66" t="s">
        <v>104</v>
      </c>
      <c r="F43" s="64">
        <v>0.8</v>
      </c>
      <c r="G43" s="64">
        <v>1</v>
      </c>
      <c r="H43" s="84">
        <v>0.94444444444444442</v>
      </c>
      <c r="I43" s="71">
        <f t="shared" ref="I43:I46" si="0">IF(D43&gt;0,D43*((1-F43)*(1-G43*H43)),0)</f>
        <v>8452.618666666669</v>
      </c>
    </row>
    <row r="44" spans="1:11">
      <c r="A44" s="120"/>
      <c r="B44" s="62">
        <v>330030830002</v>
      </c>
      <c r="C44" s="62" t="s">
        <v>106</v>
      </c>
      <c r="D44" s="71">
        <v>473040</v>
      </c>
      <c r="E44" s="66" t="s">
        <v>104</v>
      </c>
      <c r="F44" s="64">
        <v>0.8</v>
      </c>
      <c r="G44" s="64">
        <v>1</v>
      </c>
      <c r="H44" s="84">
        <v>0.78947368421052633</v>
      </c>
      <c r="I44" s="71">
        <f t="shared" si="0"/>
        <v>19917.473684210519</v>
      </c>
    </row>
    <row r="45" spans="1:11">
      <c r="A45" s="120"/>
      <c r="B45" s="62">
        <v>330032943386</v>
      </c>
      <c r="C45" s="62" t="s">
        <v>106</v>
      </c>
      <c r="D45" s="71">
        <v>473040</v>
      </c>
      <c r="E45" s="66" t="s">
        <v>104</v>
      </c>
      <c r="F45" s="64">
        <v>0.8</v>
      </c>
      <c r="G45" s="64">
        <v>1</v>
      </c>
      <c r="H45" s="84">
        <v>0</v>
      </c>
      <c r="I45" s="71">
        <f t="shared" si="0"/>
        <v>94607.999999999985</v>
      </c>
    </row>
    <row r="46" spans="1:11">
      <c r="A46" s="121"/>
      <c r="B46" s="62">
        <v>330042091722</v>
      </c>
      <c r="C46" s="62" t="s">
        <v>106</v>
      </c>
      <c r="D46" s="71">
        <v>75345.119999999995</v>
      </c>
      <c r="E46" s="66" t="s">
        <v>104</v>
      </c>
      <c r="F46" s="64">
        <v>0.8</v>
      </c>
      <c r="G46" s="64">
        <v>1</v>
      </c>
      <c r="H46" s="84">
        <v>0.96012415671618156</v>
      </c>
      <c r="I46" s="71">
        <f t="shared" si="0"/>
        <v>600.89003946409855</v>
      </c>
    </row>
    <row r="49" spans="1:9">
      <c r="A49" s="72" t="s">
        <v>76</v>
      </c>
      <c r="B49" s="130" t="s">
        <v>96</v>
      </c>
      <c r="C49" s="130"/>
      <c r="D49" s="130"/>
      <c r="E49" s="130"/>
      <c r="F49" s="130"/>
      <c r="G49" s="130"/>
      <c r="H49" s="130"/>
      <c r="I49" s="130"/>
    </row>
    <row r="50" spans="1:9" ht="11.25" customHeight="1">
      <c r="A50" s="114" t="s">
        <v>51</v>
      </c>
      <c r="B50" s="118" t="s">
        <v>107</v>
      </c>
      <c r="C50" s="122" t="s">
        <v>111</v>
      </c>
      <c r="D50" s="115" t="s">
        <v>102</v>
      </c>
      <c r="E50" s="128" t="s">
        <v>37</v>
      </c>
      <c r="F50" s="128"/>
      <c r="G50" s="128"/>
      <c r="H50" s="128"/>
      <c r="I50" s="129" t="s">
        <v>103</v>
      </c>
    </row>
    <row r="51" spans="1:9">
      <c r="A51" s="114"/>
      <c r="B51" s="118"/>
      <c r="C51" s="123"/>
      <c r="D51" s="115"/>
      <c r="E51" s="67" t="s">
        <v>38</v>
      </c>
      <c r="F51" s="67" t="s">
        <v>39</v>
      </c>
      <c r="G51" s="67" t="s">
        <v>40</v>
      </c>
      <c r="H51" s="67" t="s">
        <v>41</v>
      </c>
      <c r="I51" s="129"/>
    </row>
    <row r="52" spans="1:9">
      <c r="A52" s="61" t="s">
        <v>11</v>
      </c>
      <c r="B52" s="63" t="s">
        <v>104</v>
      </c>
      <c r="C52" s="86"/>
      <c r="D52" s="70">
        <v>0</v>
      </c>
      <c r="E52" s="66" t="s">
        <v>104</v>
      </c>
      <c r="F52" s="66" t="s">
        <v>104</v>
      </c>
      <c r="G52" s="66" t="s">
        <v>104</v>
      </c>
      <c r="H52" s="66" t="s">
        <v>104</v>
      </c>
      <c r="I52" s="71" cm="1">
        <f t="array" ref="I52">_xlfn.IFS(C52="Captação",(D52*E52)+(D52*F52),C52="lançamento",D52*(1-F52)*(1-G52*H52),C52="Captação e Lançamento",(D52*E52)+(D52*F52)+D52*(1-F52)*(1-G52*H52),D52=0,0)</f>
        <v>0</v>
      </c>
    </row>
    <row r="53" spans="1:9">
      <c r="A53" s="61" t="s">
        <v>12</v>
      </c>
      <c r="B53" s="62">
        <v>330029837090</v>
      </c>
      <c r="C53" s="62" t="s">
        <v>105</v>
      </c>
      <c r="D53" s="71">
        <v>86607.360000000001</v>
      </c>
      <c r="E53" s="64">
        <v>0.4</v>
      </c>
      <c r="F53" s="64">
        <v>0.2</v>
      </c>
      <c r="G53" s="66" t="s">
        <v>104</v>
      </c>
      <c r="H53" s="66" t="s">
        <v>104</v>
      </c>
      <c r="I53" s="71" cm="1">
        <f t="array" ref="I53">_xlfn.IFS(C53="Captação",(D53*E53)+(D53*F53),C53="lançamento",D53*(1-F53)*(1-G53*H53),C53="Captação e Lançamento",(D53*E53)+(D53*F53)+D53*(1-F53)*(1-G53*H53),D53=0,0)</f>
        <v>51964.416000000005</v>
      </c>
    </row>
    <row r="54" spans="1:9">
      <c r="A54" s="61" t="s">
        <v>13</v>
      </c>
      <c r="B54" s="63" t="s">
        <v>104</v>
      </c>
      <c r="C54" s="63"/>
      <c r="D54" s="71">
        <v>0</v>
      </c>
      <c r="E54" s="62" t="s">
        <v>104</v>
      </c>
      <c r="F54" s="62" t="s">
        <v>104</v>
      </c>
      <c r="G54" s="62" t="s">
        <v>104</v>
      </c>
      <c r="H54" s="62" t="s">
        <v>104</v>
      </c>
      <c r="I54" s="71" cm="1">
        <f t="array" ref="I54">_xlfn.IFS(C54="Captação",(D54*E54)+(D54*F54),C54="lançamento",D54*(1-F54)*(1-G54*H54),C54="Captação e Lançamento",(D54*E54)+(D54*F54)+D54*(1-F54)*(1-G54*H54),D54=0,0)</f>
        <v>0</v>
      </c>
    </row>
    <row r="55" spans="1:9">
      <c r="A55" s="124" t="s">
        <v>14</v>
      </c>
      <c r="B55" s="62">
        <v>330005096350</v>
      </c>
      <c r="C55" s="62" t="s">
        <v>105</v>
      </c>
      <c r="D55" s="71">
        <v>31788288</v>
      </c>
      <c r="E55" s="64">
        <v>0.4</v>
      </c>
      <c r="F55" s="64">
        <v>0.2</v>
      </c>
      <c r="G55" s="62" t="s">
        <v>104</v>
      </c>
      <c r="H55" s="62" t="s">
        <v>104</v>
      </c>
      <c r="I55" s="71" cm="1">
        <f t="array" ref="I55">_xlfn.IFS(C55="Captação",(D55*E55)+(D55*F55),C55="lançamento",D55*(1-F55)*(1-G55*H55),C55="Captação e Lançamento",(D55*E55)+(D55*F55)+D55*(1-F55)*(1-G55*H55),D55=0,0)</f>
        <v>19072972.800000001</v>
      </c>
    </row>
    <row r="56" spans="1:9">
      <c r="A56" s="125"/>
      <c r="B56" s="62">
        <v>330026478146</v>
      </c>
      <c r="C56" s="62" t="s">
        <v>105</v>
      </c>
      <c r="D56" s="71">
        <v>31536</v>
      </c>
      <c r="E56" s="64">
        <v>0.4</v>
      </c>
      <c r="F56" s="64">
        <v>0.2</v>
      </c>
      <c r="G56" s="62" t="s">
        <v>104</v>
      </c>
      <c r="H56" s="62" t="s">
        <v>104</v>
      </c>
      <c r="I56" s="71" cm="1">
        <f t="array" ref="I56">_xlfn.IFS(C56="Captação",(D56*E56)+(D56*F56),C56="lançamento",D56*(1-F56)*(1-G56*H56),C56="Captação e Lançamento",(D56*E56)+(D56*F56)+D56*(1-F56)*(1-G56*H56),D56=0,0)</f>
        <v>18921.600000000002</v>
      </c>
    </row>
    <row r="57" spans="1:9">
      <c r="A57" s="125"/>
      <c r="B57" s="62">
        <v>330026478308</v>
      </c>
      <c r="C57" s="62" t="s">
        <v>105</v>
      </c>
      <c r="D57" s="71">
        <v>189216</v>
      </c>
      <c r="E57" s="64">
        <v>0.4</v>
      </c>
      <c r="F57" s="64">
        <v>0.2</v>
      </c>
      <c r="G57" s="62" t="s">
        <v>104</v>
      </c>
      <c r="H57" s="62" t="s">
        <v>104</v>
      </c>
      <c r="I57" s="71" cm="1">
        <f t="array" ref="I57">_xlfn.IFS(C57="Captação",(D57*E57)+(D57*F57),C57="lançamento",D57*(1-F57)*(1-G57*H57),C57="Captação e Lançamento",(D57*E57)+(D57*F57)+D57*(1-F57)*(1-G57*H57),D57=0,0)</f>
        <v>113529.60000000001</v>
      </c>
    </row>
    <row r="58" spans="1:9">
      <c r="A58" s="125"/>
      <c r="B58" s="62">
        <v>330026478499</v>
      </c>
      <c r="C58" s="62" t="s">
        <v>105</v>
      </c>
      <c r="D58" s="71">
        <v>536112</v>
      </c>
      <c r="E58" s="64">
        <v>0.4</v>
      </c>
      <c r="F58" s="64">
        <v>0.2</v>
      </c>
      <c r="G58" s="62" t="s">
        <v>104</v>
      </c>
      <c r="H58" s="62" t="s">
        <v>104</v>
      </c>
      <c r="I58" s="71" cm="1">
        <f t="array" ref="I58">_xlfn.IFS(C58="Captação",(D58*E58)+(D58*F58),C58="lançamento",D58*(1-F58)*(1-G58*H58),C58="Captação e Lançamento",(D58*E58)+(D58*F58)+D58*(1-F58)*(1-G58*H58),D58=0,0)</f>
        <v>321667.20000000001</v>
      </c>
    </row>
    <row r="59" spans="1:9">
      <c r="A59" s="125"/>
      <c r="B59" s="62">
        <v>330026654211</v>
      </c>
      <c r="C59" s="62" t="s">
        <v>105</v>
      </c>
      <c r="D59" s="71">
        <v>13245120</v>
      </c>
      <c r="E59" s="64">
        <v>0.4</v>
      </c>
      <c r="F59" s="64">
        <v>0.2</v>
      </c>
      <c r="G59" s="66" t="s">
        <v>104</v>
      </c>
      <c r="H59" s="66" t="s">
        <v>104</v>
      </c>
      <c r="I59" s="71" cm="1">
        <f t="array" ref="I59">_xlfn.IFS(C59="Captação",(D59*E59)+(D59*F59),C59="lançamento",D59*(1-F59)*(1-G59*H59),C59="Captação e Lançamento",(D59*E59)+(D59*F59)+D59*(1-F59)*(1-G59*H59),D59=0,0)</f>
        <v>7947072</v>
      </c>
    </row>
    <row r="60" spans="1:9">
      <c r="A60" s="125"/>
      <c r="B60" s="62">
        <v>330026830559</v>
      </c>
      <c r="C60" s="62" t="s">
        <v>105</v>
      </c>
      <c r="D60" s="71">
        <v>693792</v>
      </c>
      <c r="E60" s="64">
        <v>0.4</v>
      </c>
      <c r="F60" s="64">
        <v>0.2</v>
      </c>
      <c r="G60" s="66" t="s">
        <v>104</v>
      </c>
      <c r="H60" s="66" t="s">
        <v>104</v>
      </c>
      <c r="I60" s="71" cm="1">
        <f t="array" ref="I60">_xlfn.IFS(C60="Captação",(D60*E60)+(D60*F60),C60="lançamento",D60*(1-F60)*(1-G60*H60),C60="Captação e Lançamento",(D60*E60)+(D60*F60)+D60*(1-F60)*(1-G60*H60),D60=0,0)</f>
        <v>416275.19999999995</v>
      </c>
    </row>
    <row r="61" spans="1:9">
      <c r="A61" s="125"/>
      <c r="B61" s="62">
        <v>330032330376</v>
      </c>
      <c r="C61" s="62" t="s">
        <v>105</v>
      </c>
      <c r="D61" s="71">
        <v>60300</v>
      </c>
      <c r="E61" s="64">
        <v>0.4</v>
      </c>
      <c r="F61" s="64">
        <v>0.2</v>
      </c>
      <c r="G61" s="62" t="s">
        <v>104</v>
      </c>
      <c r="H61" s="62" t="s">
        <v>104</v>
      </c>
      <c r="I61" s="71" cm="1">
        <f t="array" ref="I61">_xlfn.IFS(C61="Captação",(D61*E61)+(D61*F61),C61="lançamento",D61*(1-F61)*(1-G61*H61),C61="Captação e Lançamento",(D61*E61)+(D61*F61)+D61*(1-F61)*(1-G61*H61),D61=0,0)</f>
        <v>36180</v>
      </c>
    </row>
    <row r="62" spans="1:9">
      <c r="A62" s="125"/>
      <c r="B62" s="62">
        <v>330034105671</v>
      </c>
      <c r="C62" s="62" t="s">
        <v>105</v>
      </c>
      <c r="D62" s="71">
        <v>61101</v>
      </c>
      <c r="E62" s="64">
        <v>0.4</v>
      </c>
      <c r="F62" s="64">
        <v>0.2</v>
      </c>
      <c r="G62" s="62" t="s">
        <v>104</v>
      </c>
      <c r="H62" s="62" t="s">
        <v>104</v>
      </c>
      <c r="I62" s="71" cm="1">
        <f t="array" ref="I62">_xlfn.IFS(C62="Captação",(D62*E62)+(D62*F62),C62="lançamento",D62*(1-F62)*(1-G62*H62),C62="Captação e Lançamento",(D62*E62)+(D62*F62)+D62*(1-F62)*(1-G62*H62),D62=0,0)</f>
        <v>36660.600000000006</v>
      </c>
    </row>
    <row r="63" spans="1:9">
      <c r="A63" s="125"/>
      <c r="B63" s="62">
        <v>330040172148</v>
      </c>
      <c r="C63" s="62" t="s">
        <v>105</v>
      </c>
      <c r="D63" s="71">
        <v>1892160</v>
      </c>
      <c r="E63" s="64">
        <v>0.4</v>
      </c>
      <c r="F63" s="64">
        <v>0.2</v>
      </c>
      <c r="G63" s="62" t="s">
        <v>104</v>
      </c>
      <c r="H63" s="62" t="s">
        <v>104</v>
      </c>
      <c r="I63" s="71" cm="1">
        <f t="array" ref="I63">_xlfn.IFS(C63="Captação",(D63*E63)+(D63*F63),C63="lançamento",D63*(1-F63)*(1-G63*H63),C63="Captação e Lançamento",(D63*E63)+(D63*F63)+D63*(1-F63)*(1-G63*H63),D63=0,0)</f>
        <v>1135296</v>
      </c>
    </row>
    <row r="64" spans="1:9">
      <c r="A64" s="125"/>
      <c r="B64" s="62">
        <v>330007455683</v>
      </c>
      <c r="C64" s="62" t="s">
        <v>106</v>
      </c>
      <c r="D64" s="71">
        <v>1236911.9999999991</v>
      </c>
      <c r="E64" s="66" t="s">
        <v>104</v>
      </c>
      <c r="F64" s="64">
        <v>0.8</v>
      </c>
      <c r="G64" s="64">
        <v>1</v>
      </c>
      <c r="H64" s="84">
        <v>0.98760000000000003</v>
      </c>
      <c r="I64" s="71" cm="1">
        <f t="array" ref="I64">_xlfn.IFS(C64="Captação",(D64*E64)+(D64*F64),C64="lançamento",D64*(1-F64)*(1-G64*H64),C64="Captação e Lançamento",(D64*E64)+(D64*F64)+D64*(1-F64)*(1-G64*H64),D64=0,0)</f>
        <v>3067.5417599999887</v>
      </c>
    </row>
    <row r="65" spans="1:9">
      <c r="A65" s="125"/>
      <c r="B65" s="62">
        <v>330008983640</v>
      </c>
      <c r="C65" s="62" t="s">
        <v>106</v>
      </c>
      <c r="D65" s="71">
        <v>24685680</v>
      </c>
      <c r="E65" s="66" t="s">
        <v>104</v>
      </c>
      <c r="F65" s="64">
        <v>0.8</v>
      </c>
      <c r="G65" s="64">
        <v>1</v>
      </c>
      <c r="H65" s="84">
        <v>0.95410171878500782</v>
      </c>
      <c r="I65" s="71" cm="1">
        <f t="array" ref="I65">_xlfn.IFS(C65="Captação",(D65*E65)+(D65*F65),C65="lançamento",D65*(1-F65)*(1-G65*H65),C65="Captação e Lançamento",(D65*E65)+(D65*F65)+D65*(1-F65)*(1-G65*H65),D65=0,0)</f>
        <v>226606.05652466157</v>
      </c>
    </row>
    <row r="66" spans="1:9">
      <c r="A66" s="125"/>
      <c r="B66" s="62">
        <v>330022441086</v>
      </c>
      <c r="C66" s="62" t="s">
        <v>106</v>
      </c>
      <c r="D66" s="71">
        <v>4742.3999999999896</v>
      </c>
      <c r="E66" s="66" t="s">
        <v>104</v>
      </c>
      <c r="F66" s="64">
        <v>0.8</v>
      </c>
      <c r="G66" s="64">
        <v>1</v>
      </c>
      <c r="H66" s="84">
        <v>0.96037990196078427</v>
      </c>
      <c r="I66" s="71" cm="1">
        <f t="array" ref="I66">_xlfn.IFS(C66="Captação",(D66*E66)+(D66*F66),C66="lançamento",D66*(1-F66)*(1-G66*H66),C66="Captação e Lançamento",(D66*E66)+(D66*F66)+D66*(1-F66)*(1-G66*H66),D66=0,0)</f>
        <v>37.578870588235247</v>
      </c>
    </row>
    <row r="67" spans="1:9">
      <c r="A67" s="125"/>
      <c r="B67" s="62">
        <v>330026432235</v>
      </c>
      <c r="C67" s="62" t="s">
        <v>106</v>
      </c>
      <c r="D67" s="71">
        <v>938984.39999999898</v>
      </c>
      <c r="E67" s="66" t="s">
        <v>104</v>
      </c>
      <c r="F67" s="64">
        <v>0.8</v>
      </c>
      <c r="G67" s="64">
        <v>1</v>
      </c>
      <c r="H67" s="84">
        <v>0.9619527726187318</v>
      </c>
      <c r="I67" s="71" cm="1">
        <f t="array" ref="I67">_xlfn.IFS(C67="Captação",(D67*E67)+(D67*F67),C67="lançamento",D67*(1-F67)*(1-G67*H67),C67="Captação e Lançamento",(D67*E67)+(D67*F67)+D67*(1-F67)*(1-G67*H67),D67=0,0)</f>
        <v>7145.1505948527283</v>
      </c>
    </row>
    <row r="68" spans="1:9">
      <c r="A68" s="125"/>
      <c r="B68" s="62">
        <v>330027870554</v>
      </c>
      <c r="C68" s="62" t="s">
        <v>106</v>
      </c>
      <c r="D68" s="71">
        <v>11652990</v>
      </c>
      <c r="E68" s="66" t="s">
        <v>104</v>
      </c>
      <c r="F68" s="64">
        <v>0.8</v>
      </c>
      <c r="G68" s="64">
        <v>1</v>
      </c>
      <c r="H68" s="84">
        <v>0.80645161290322576</v>
      </c>
      <c r="I68" s="71" cm="1">
        <f t="array" ref="I68">_xlfn.IFS(C68="Captação",(D68*E68)+(D68*F68),C68="lançamento",D68*(1-F68)*(1-G68*H68),C68="Captação e Lançamento",(D68*E68)+(D68*F68)+D68*(1-F68)*(1-G68*H68),D68=0,0)</f>
        <v>451083.48387096776</v>
      </c>
    </row>
    <row r="69" spans="1:9">
      <c r="A69" s="125"/>
      <c r="B69" s="62">
        <v>330030587078</v>
      </c>
      <c r="C69" s="62" t="s">
        <v>106</v>
      </c>
      <c r="D69" s="71">
        <v>59042.400000000001</v>
      </c>
      <c r="E69" s="66" t="s">
        <v>104</v>
      </c>
      <c r="F69" s="64">
        <v>0.8</v>
      </c>
      <c r="G69" s="64">
        <v>1</v>
      </c>
      <c r="H69" s="84">
        <v>0.88501026694045171</v>
      </c>
      <c r="I69" s="71" cm="1">
        <f t="array" ref="I69">_xlfn.IFS(C69="Captação",(D69*E69)+(D69*F69),C69="lançamento",D69*(1-F69)*(1-G69*H69),C69="Captação e Lançamento",(D69*E69)+(D69*F69)+D69*(1-F69)*(1-G69*H69),D69=0,0)</f>
        <v>1357.8539630390146</v>
      </c>
    </row>
    <row r="70" spans="1:9">
      <c r="A70" s="126"/>
      <c r="B70" s="62">
        <v>330032456558</v>
      </c>
      <c r="C70" s="62" t="s">
        <v>106</v>
      </c>
      <c r="D70" s="71">
        <v>105853.44</v>
      </c>
      <c r="E70" s="66" t="s">
        <v>104</v>
      </c>
      <c r="F70" s="64">
        <v>0.8</v>
      </c>
      <c r="G70" s="64">
        <v>1</v>
      </c>
      <c r="H70" s="84">
        <v>0</v>
      </c>
      <c r="I70" s="71" cm="1">
        <f t="array" ref="I70">_xlfn.IFS(C70="Captação",(D70*E70)+(D70*F70),C70="lançamento",D70*(1-F70)*(1-G70*H70),C70="Captação e Lançamento",(D70*E70)+(D70*F70)+D70*(1-F70)*(1-G70*H70),D70=0,0)</f>
        <v>21170.687999999995</v>
      </c>
    </row>
    <row r="71" spans="1:9" ht="22.5">
      <c r="A71" s="61" t="s">
        <v>15</v>
      </c>
      <c r="B71" s="62">
        <v>330005059748</v>
      </c>
      <c r="C71" s="62" t="s">
        <v>112</v>
      </c>
      <c r="D71" s="71">
        <v>79905.600000000006</v>
      </c>
      <c r="E71" s="64">
        <v>0.4</v>
      </c>
      <c r="F71" s="64">
        <v>0.2</v>
      </c>
      <c r="G71" s="64">
        <v>1</v>
      </c>
      <c r="H71" s="84">
        <v>0.84</v>
      </c>
      <c r="I71" s="71" cm="1">
        <f t="array" ref="I71">_xlfn.IFS(C71="Captação",(D71*E71)+(D71*F71),C71="lançamento",D71*(1-F71)*(1-G71*H71),C71="Captação e Lançamento",(D71*E71)+(D71*F71)+D71*(1-F71)*(1-G71*H71),D71=0,0)</f>
        <v>58171.276800000014</v>
      </c>
    </row>
    <row r="72" spans="1:9">
      <c r="A72" s="119" t="s">
        <v>16</v>
      </c>
      <c r="B72" s="62">
        <v>330040184073</v>
      </c>
      <c r="C72" s="62" t="s">
        <v>105</v>
      </c>
      <c r="D72" s="71">
        <v>1236911.9999999991</v>
      </c>
      <c r="E72" s="64">
        <v>0.4</v>
      </c>
      <c r="F72" s="64">
        <v>0.2</v>
      </c>
      <c r="G72" s="62" t="s">
        <v>104</v>
      </c>
      <c r="H72" s="62" t="s">
        <v>104</v>
      </c>
      <c r="I72" s="71" cm="1">
        <f t="array" ref="I72">_xlfn.IFS(C72="Captação",(D72*E72)+(D72*F72),C72="lançamento",D72*(1-F72)*(1-G72*H72),C72="Captação e Lançamento",(D72*E72)+(D72*F72)+D72*(1-F72)*(1-G72*H72),D72=0,0)</f>
        <v>742147.19999999949</v>
      </c>
    </row>
    <row r="73" spans="1:9">
      <c r="A73" s="120"/>
      <c r="B73" s="62">
        <v>330026520606</v>
      </c>
      <c r="C73" s="62" t="s">
        <v>106</v>
      </c>
      <c r="D73" s="71">
        <v>760735.68</v>
      </c>
      <c r="E73" s="66" t="s">
        <v>104</v>
      </c>
      <c r="F73" s="64">
        <v>0.8</v>
      </c>
      <c r="G73" s="64">
        <v>1</v>
      </c>
      <c r="H73" s="84">
        <v>0.94444444444444442</v>
      </c>
      <c r="I73" s="71">
        <f t="shared" ref="I73:I76" si="1">IF(D73&gt;0,D73*((1-F73)*(1-G73*H73)),0)</f>
        <v>8452.618666666669</v>
      </c>
    </row>
    <row r="74" spans="1:9">
      <c r="A74" s="120"/>
      <c r="B74" s="62">
        <v>330030830002</v>
      </c>
      <c r="C74" s="62" t="s">
        <v>106</v>
      </c>
      <c r="D74" s="71">
        <v>473040</v>
      </c>
      <c r="E74" s="66" t="s">
        <v>104</v>
      </c>
      <c r="F74" s="64">
        <v>0.8</v>
      </c>
      <c r="G74" s="64">
        <v>1</v>
      </c>
      <c r="H74" s="84">
        <v>0.78947368421052633</v>
      </c>
      <c r="I74" s="71">
        <f t="shared" si="1"/>
        <v>19917.473684210519</v>
      </c>
    </row>
    <row r="75" spans="1:9">
      <c r="A75" s="120"/>
      <c r="B75" s="62">
        <v>330032943386</v>
      </c>
      <c r="C75" s="62" t="s">
        <v>106</v>
      </c>
      <c r="D75" s="71">
        <v>473040</v>
      </c>
      <c r="E75" s="66" t="s">
        <v>104</v>
      </c>
      <c r="F75" s="64">
        <v>0.8</v>
      </c>
      <c r="G75" s="64">
        <v>1</v>
      </c>
      <c r="H75" s="84">
        <v>0</v>
      </c>
      <c r="I75" s="71">
        <f t="shared" si="1"/>
        <v>94607.999999999985</v>
      </c>
    </row>
    <row r="76" spans="1:9">
      <c r="A76" s="121"/>
      <c r="B76" s="62">
        <v>330042091722</v>
      </c>
      <c r="C76" s="62" t="s">
        <v>106</v>
      </c>
      <c r="D76" s="71">
        <v>75345.119999999995</v>
      </c>
      <c r="E76" s="66" t="s">
        <v>104</v>
      </c>
      <c r="F76" s="64">
        <v>0.8</v>
      </c>
      <c r="G76" s="64">
        <v>1</v>
      </c>
      <c r="H76" s="84">
        <v>0.96012415671618156</v>
      </c>
      <c r="I76" s="71">
        <f t="shared" si="1"/>
        <v>600.89003946409855</v>
      </c>
    </row>
  </sheetData>
  <mergeCells count="27">
    <mergeCell ref="A1:I1"/>
    <mergeCell ref="D50:D51"/>
    <mergeCell ref="E50:H50"/>
    <mergeCell ref="I50:I51"/>
    <mergeCell ref="D4:D5"/>
    <mergeCell ref="E4:H4"/>
    <mergeCell ref="I4:I5"/>
    <mergeCell ref="B3:I3"/>
    <mergeCell ref="B19:I19"/>
    <mergeCell ref="B49:I49"/>
    <mergeCell ref="A20:A21"/>
    <mergeCell ref="B20:B21"/>
    <mergeCell ref="D20:D21"/>
    <mergeCell ref="E20:H20"/>
    <mergeCell ref="I20:I21"/>
    <mergeCell ref="A4:A5"/>
    <mergeCell ref="B4:B5"/>
    <mergeCell ref="A72:A76"/>
    <mergeCell ref="C4:C5"/>
    <mergeCell ref="A9:A14"/>
    <mergeCell ref="A42:A46"/>
    <mergeCell ref="C20:C21"/>
    <mergeCell ref="C50:C51"/>
    <mergeCell ref="A55:A70"/>
    <mergeCell ref="A25:A40"/>
    <mergeCell ref="A50:A51"/>
    <mergeCell ref="B50:B51"/>
  </mergeCells>
  <pageMargins left="0.511811024" right="0.511811024" top="0.78740157499999996" bottom="0.78740157499999996" header="0.31496062000000002" footer="0.31496062000000002"/>
  <drawing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CB983D-2A0C-484D-81AE-4B054DE8C45E}">
  <dimension ref="A1:I35"/>
  <sheetViews>
    <sheetView zoomScale="120" zoomScaleNormal="120" workbookViewId="0">
      <selection activeCell="J29" sqref="J29"/>
    </sheetView>
  </sheetViews>
  <sheetFormatPr defaultColWidth="9.125" defaultRowHeight="11.25"/>
  <cols>
    <col min="1" max="1" width="18.25" style="32" customWidth="1"/>
    <col min="2" max="3" width="13.125" style="32" customWidth="1"/>
    <col min="4" max="4" width="11.75" style="32" customWidth="1"/>
    <col min="5" max="6" width="5" style="32" bestFit="1" customWidth="1"/>
    <col min="7" max="7" width="5.75" style="32" bestFit="1" customWidth="1"/>
    <col min="8" max="8" width="5" style="32" bestFit="1" customWidth="1"/>
    <col min="9" max="9" width="16.25" style="32" customWidth="1"/>
    <col min="10" max="16384" width="9.125" style="32"/>
  </cols>
  <sheetData>
    <row r="1" spans="1:9">
      <c r="A1" s="127" t="s">
        <v>110</v>
      </c>
      <c r="B1" s="127"/>
      <c r="C1" s="127"/>
      <c r="D1" s="127"/>
      <c r="E1" s="127"/>
      <c r="F1" s="127"/>
      <c r="G1" s="127"/>
      <c r="H1" s="127"/>
      <c r="I1" s="127"/>
    </row>
    <row r="2" spans="1:9">
      <c r="A2" s="83"/>
      <c r="B2" s="83"/>
      <c r="C2" s="83"/>
      <c r="D2" s="83"/>
      <c r="E2" s="83"/>
      <c r="F2" s="83"/>
      <c r="G2" s="83"/>
      <c r="H2" s="83"/>
      <c r="I2" s="83"/>
    </row>
    <row r="3" spans="1:9">
      <c r="A3" s="72" t="s">
        <v>69</v>
      </c>
      <c r="B3" s="130" t="s">
        <v>98</v>
      </c>
      <c r="C3" s="131"/>
      <c r="D3" s="131"/>
      <c r="E3" s="131"/>
      <c r="F3" s="131"/>
      <c r="G3" s="131"/>
      <c r="H3" s="131"/>
      <c r="I3" s="130"/>
    </row>
    <row r="4" spans="1:9">
      <c r="A4" s="114" t="s">
        <v>51</v>
      </c>
      <c r="B4" s="118" t="s">
        <v>107</v>
      </c>
      <c r="C4" s="122" t="s">
        <v>111</v>
      </c>
      <c r="D4" s="115" t="s">
        <v>102</v>
      </c>
      <c r="E4" s="128" t="s">
        <v>37</v>
      </c>
      <c r="F4" s="128"/>
      <c r="G4" s="128"/>
      <c r="H4" s="128"/>
      <c r="I4" s="129" t="s">
        <v>103</v>
      </c>
    </row>
    <row r="5" spans="1:9">
      <c r="A5" s="114"/>
      <c r="B5" s="118"/>
      <c r="C5" s="123"/>
      <c r="D5" s="115"/>
      <c r="E5" s="67" t="s">
        <v>38</v>
      </c>
      <c r="F5" s="67" t="s">
        <v>39</v>
      </c>
      <c r="G5" s="67" t="s">
        <v>40</v>
      </c>
      <c r="H5" s="67" t="s">
        <v>41</v>
      </c>
      <c r="I5" s="129"/>
    </row>
    <row r="6" spans="1:9">
      <c r="A6" s="61" t="s">
        <v>11</v>
      </c>
      <c r="B6" s="63" t="s">
        <v>104</v>
      </c>
      <c r="C6" s="86" t="s">
        <v>104</v>
      </c>
      <c r="D6" s="70">
        <v>0</v>
      </c>
      <c r="E6" s="66" t="s">
        <v>104</v>
      </c>
      <c r="F6" s="66" t="s">
        <v>104</v>
      </c>
      <c r="G6" s="66" t="s">
        <v>104</v>
      </c>
      <c r="H6" s="66" t="s">
        <v>104</v>
      </c>
      <c r="I6" s="71" cm="1">
        <f t="array" ref="I6">_xlfn.IFS(C6="Captação",(D6*E6)+(D6*F6),C6="lançamento",D6*(1-F6)*(1-G6*H6),C6="Captação e Lançamento",(D6*E6)+(D6*F6)+D6*(1-F6)*(1-G6*H6),D6=0,0)</f>
        <v>0</v>
      </c>
    </row>
    <row r="7" spans="1:9">
      <c r="A7" s="61" t="s">
        <v>12</v>
      </c>
      <c r="B7" s="63" t="s">
        <v>104</v>
      </c>
      <c r="C7" s="86" t="s">
        <v>104</v>
      </c>
      <c r="D7" s="70">
        <v>0</v>
      </c>
      <c r="E7" s="66" t="s">
        <v>104</v>
      </c>
      <c r="F7" s="66" t="s">
        <v>104</v>
      </c>
      <c r="G7" s="66" t="s">
        <v>104</v>
      </c>
      <c r="H7" s="66" t="s">
        <v>104</v>
      </c>
      <c r="I7" s="71" cm="1">
        <f t="array" ref="I7">_xlfn.IFS(C7="Captação",(D7*E7)+(D7*F7),C7="lançamento",D7*(1-F7)*(1-G7*H7),C7="Captação e Lançamento",(D7*E7)+(D7*F7)+D7*(1-F7)*(1-G7*H7),D7=0,0)</f>
        <v>0</v>
      </c>
    </row>
    <row r="8" spans="1:9">
      <c r="A8" s="61" t="s">
        <v>13</v>
      </c>
      <c r="B8" s="63" t="s">
        <v>104</v>
      </c>
      <c r="C8" s="86" t="s">
        <v>104</v>
      </c>
      <c r="D8" s="70">
        <v>0</v>
      </c>
      <c r="E8" s="66" t="s">
        <v>104</v>
      </c>
      <c r="F8" s="66" t="s">
        <v>104</v>
      </c>
      <c r="G8" s="66" t="s">
        <v>104</v>
      </c>
      <c r="H8" s="66" t="s">
        <v>104</v>
      </c>
      <c r="I8" s="71" cm="1">
        <f t="array" ref="I8">_xlfn.IFS(C8="Captação",(D8*E8)+(D8*F8),C8="lançamento",D8*(1-F8)*(1-G8*H8),C8="Captação e Lançamento",(D8*E8)+(D8*F8)+D8*(1-F8)*(1-G8*H8),D8=0,0)</f>
        <v>0</v>
      </c>
    </row>
    <row r="9" spans="1:9">
      <c r="A9" s="69" t="s">
        <v>14</v>
      </c>
      <c r="B9" s="62" t="s">
        <v>104</v>
      </c>
      <c r="C9" s="86" t="s">
        <v>104</v>
      </c>
      <c r="D9" s="71">
        <v>0</v>
      </c>
      <c r="E9" s="66" t="s">
        <v>104</v>
      </c>
      <c r="F9" s="66" t="s">
        <v>104</v>
      </c>
      <c r="G9" s="66" t="s">
        <v>104</v>
      </c>
      <c r="H9" s="66" t="s">
        <v>104</v>
      </c>
      <c r="I9" s="71" cm="1">
        <f t="array" ref="I9">_xlfn.IFS(C9="Captação",(D9*E9)+(D9*F9),C9="lançamento",D9*(1-F9)*(1-G9*H9),C9="Captação e Lançamento",(D9*E9)+(D9*F9)+D9*(1-F9)*(1-G9*H9),D9=0,0)</f>
        <v>0</v>
      </c>
    </row>
    <row r="10" spans="1:9" ht="15" customHeight="1">
      <c r="A10" s="61" t="s">
        <v>15</v>
      </c>
      <c r="B10" s="63" t="s">
        <v>104</v>
      </c>
      <c r="C10" s="86" t="s">
        <v>104</v>
      </c>
      <c r="D10" s="71">
        <v>0</v>
      </c>
      <c r="E10" s="66" t="s">
        <v>104</v>
      </c>
      <c r="F10" s="66" t="s">
        <v>104</v>
      </c>
      <c r="G10" s="66" t="s">
        <v>104</v>
      </c>
      <c r="H10" s="66" t="s">
        <v>104</v>
      </c>
      <c r="I10" s="71" cm="1">
        <f t="array" ref="I10">_xlfn.IFS(C10="Captação",(D10*E10)+(D10*F10),C10="lançamento",D10*(1-F10)*(1-G10*H10),C10="Captação e Lançamento",(D10*E10)+(D10*F10)+D10*(1-F10)*(1-G10*H10),D10=0,0)</f>
        <v>0</v>
      </c>
    </row>
    <row r="11" spans="1:9">
      <c r="A11" s="61" t="s">
        <v>16</v>
      </c>
      <c r="B11" s="63" t="s">
        <v>104</v>
      </c>
      <c r="C11" s="86" t="s">
        <v>104</v>
      </c>
      <c r="D11" s="71">
        <v>0</v>
      </c>
      <c r="E11" s="62" t="s">
        <v>104</v>
      </c>
      <c r="F11" s="62" t="s">
        <v>104</v>
      </c>
      <c r="G11" s="62" t="s">
        <v>104</v>
      </c>
      <c r="H11" s="62" t="s">
        <v>104</v>
      </c>
      <c r="I11" s="71" cm="1">
        <f t="array" ref="I11">_xlfn.IFS(C11="Captação",(D11*E11)+(D11*F11),C11="lançamento",D11*(1-F11)*(1-G11*H11),C11="Captação e Lançamento",(D11*E11)+(D11*F11)+D11*(1-F11)*(1-G11*H11),D11=0,0)</f>
        <v>0</v>
      </c>
    </row>
    <row r="12" spans="1:9">
      <c r="A12" s="59"/>
      <c r="B12" s="80"/>
      <c r="C12" s="80"/>
      <c r="D12" s="81"/>
      <c r="E12" s="82"/>
      <c r="F12" s="82"/>
      <c r="G12" s="82"/>
      <c r="H12" s="82"/>
      <c r="I12" s="81"/>
    </row>
    <row r="13" spans="1:9">
      <c r="A13" s="72" t="s">
        <v>71</v>
      </c>
      <c r="B13" s="130" t="s">
        <v>97</v>
      </c>
      <c r="C13" s="130"/>
      <c r="D13" s="130"/>
      <c r="E13" s="130"/>
      <c r="F13" s="130"/>
      <c r="G13" s="130"/>
      <c r="H13" s="130"/>
      <c r="I13" s="130"/>
    </row>
    <row r="14" spans="1:9">
      <c r="A14" s="114" t="s">
        <v>51</v>
      </c>
      <c r="B14" s="118" t="s">
        <v>107</v>
      </c>
      <c r="C14" s="122" t="s">
        <v>111</v>
      </c>
      <c r="D14" s="115" t="s">
        <v>102</v>
      </c>
      <c r="E14" s="128" t="s">
        <v>37</v>
      </c>
      <c r="F14" s="128"/>
      <c r="G14" s="128"/>
      <c r="H14" s="128"/>
      <c r="I14" s="129" t="s">
        <v>103</v>
      </c>
    </row>
    <row r="15" spans="1:9">
      <c r="A15" s="114"/>
      <c r="B15" s="118"/>
      <c r="C15" s="123"/>
      <c r="D15" s="115"/>
      <c r="E15" s="67" t="s">
        <v>38</v>
      </c>
      <c r="F15" s="67" t="s">
        <v>39</v>
      </c>
      <c r="G15" s="67" t="s">
        <v>40</v>
      </c>
      <c r="H15" s="67" t="s">
        <v>41</v>
      </c>
      <c r="I15" s="129"/>
    </row>
    <row r="16" spans="1:9">
      <c r="A16" s="61" t="s">
        <v>11</v>
      </c>
      <c r="B16" s="63" t="s">
        <v>104</v>
      </c>
      <c r="C16" s="86" t="s">
        <v>104</v>
      </c>
      <c r="D16" s="70">
        <v>0</v>
      </c>
      <c r="E16" s="66" t="s">
        <v>104</v>
      </c>
      <c r="F16" s="66" t="s">
        <v>104</v>
      </c>
      <c r="G16" s="66" t="s">
        <v>104</v>
      </c>
      <c r="H16" s="66" t="s">
        <v>104</v>
      </c>
      <c r="I16" s="71" cm="1">
        <f t="array" ref="I16">_xlfn.IFS(C16="Captação",(D16*E16)+(D16*F16),C16="lançamento",D16*(1-F16)*(1-G16*H16),C16="Captação e Lançamento",(D16*E16)+(D16*F16)+D16*(1-F16)*(1-G16*H16),D16=0,0)</f>
        <v>0</v>
      </c>
    </row>
    <row r="17" spans="1:9">
      <c r="A17" s="61" t="s">
        <v>12</v>
      </c>
      <c r="B17" s="63" t="s">
        <v>104</v>
      </c>
      <c r="C17" s="86" t="s">
        <v>104</v>
      </c>
      <c r="D17" s="70">
        <v>0</v>
      </c>
      <c r="E17" s="66" t="s">
        <v>104</v>
      </c>
      <c r="F17" s="66" t="s">
        <v>104</v>
      </c>
      <c r="G17" s="66" t="s">
        <v>104</v>
      </c>
      <c r="H17" s="66" t="s">
        <v>104</v>
      </c>
      <c r="I17" s="71" cm="1">
        <f t="array" ref="I17">_xlfn.IFS(C17="Captação",(D17*E17)+(D17*F17),C17="lançamento",D17*(1-F17)*(1-G17*H17),C17="Captação e Lançamento",(D17*E17)+(D17*F17)+D17*(1-F17)*(1-G17*H17),D17=0,0)</f>
        <v>0</v>
      </c>
    </row>
    <row r="18" spans="1:9">
      <c r="A18" s="61" t="s">
        <v>13</v>
      </c>
      <c r="B18" s="63" t="s">
        <v>104</v>
      </c>
      <c r="C18" s="86" t="s">
        <v>104</v>
      </c>
      <c r="D18" s="70">
        <v>0</v>
      </c>
      <c r="E18" s="66" t="s">
        <v>104</v>
      </c>
      <c r="F18" s="66" t="s">
        <v>104</v>
      </c>
      <c r="G18" s="66" t="s">
        <v>104</v>
      </c>
      <c r="H18" s="66" t="s">
        <v>104</v>
      </c>
      <c r="I18" s="71" cm="1">
        <f t="array" ref="I18">_xlfn.IFS(C18="Captação",(D18*E18)+(D18*F18),C18="lançamento",D18*(1-F18)*(1-G18*H18),C18="Captação e Lançamento",(D18*E18)+(D18*F18)+D18*(1-F18)*(1-G18*H18),D18=0,0)</f>
        <v>0</v>
      </c>
    </row>
    <row r="19" spans="1:9">
      <c r="A19" s="61" t="s">
        <v>14</v>
      </c>
      <c r="B19" s="63" t="s">
        <v>104</v>
      </c>
      <c r="C19" s="86" t="s">
        <v>104</v>
      </c>
      <c r="D19" s="70">
        <v>0</v>
      </c>
      <c r="E19" s="66" t="s">
        <v>104</v>
      </c>
      <c r="F19" s="66" t="s">
        <v>104</v>
      </c>
      <c r="G19" s="66" t="s">
        <v>104</v>
      </c>
      <c r="H19" s="66" t="s">
        <v>104</v>
      </c>
      <c r="I19" s="71" cm="1">
        <f t="array" ref="I19">_xlfn.IFS(C19="Captação",(D19*E19)+(D19*F19),C19="lançamento",D19*(1-F19)*(1-G19*H19),C19="Captação e Lançamento",(D19*E19)+(D19*F19)+D19*(1-F19)*(1-G19*H19),D19=0,0)</f>
        <v>0</v>
      </c>
    </row>
    <row r="20" spans="1:9">
      <c r="A20" s="120" t="s">
        <v>15</v>
      </c>
      <c r="B20" s="62">
        <v>330031467114</v>
      </c>
      <c r="C20" s="62" t="s">
        <v>105</v>
      </c>
      <c r="D20" s="71">
        <v>252288</v>
      </c>
      <c r="E20" s="85">
        <v>0.4</v>
      </c>
      <c r="F20" s="64">
        <v>0</v>
      </c>
      <c r="G20" s="64">
        <v>0</v>
      </c>
      <c r="H20" s="64">
        <v>0</v>
      </c>
      <c r="I20" s="71" cm="1">
        <f t="array" ref="I20">_xlfn.IFS(C20="Captação",(D20*E20)+(D20*F20),C20="lançamento",D20*(1-F20)*(1-G20*H20),C20="Captação e Lançamento",(D20*E20)+(D20*F20)+D20*(1-F20)*(1-G20*H20),D20=0,0)</f>
        <v>100915.20000000001</v>
      </c>
    </row>
    <row r="21" spans="1:9">
      <c r="A21" s="120"/>
      <c r="B21" s="62">
        <v>330031868100</v>
      </c>
      <c r="C21" s="62" t="s">
        <v>105</v>
      </c>
      <c r="D21" s="71">
        <v>9897984</v>
      </c>
      <c r="E21" s="85">
        <v>0.4</v>
      </c>
      <c r="F21" s="64">
        <v>0</v>
      </c>
      <c r="G21" s="64">
        <v>0</v>
      </c>
      <c r="H21" s="64">
        <v>0</v>
      </c>
      <c r="I21" s="71" cm="1">
        <f t="array" ref="I21">_xlfn.IFS(C21="Captação",(D21*E21)+(D21*F21),C21="lançamento",D21*(1-F21)*(1-G21*H21),C21="Captação e Lançamento",(D21*E21)+(D21*F21)+D21*(1-F21)*(1-G21*H21),D21=0,0)</f>
        <v>3959193.6000000001</v>
      </c>
    </row>
    <row r="22" spans="1:9">
      <c r="A22" s="121"/>
      <c r="B22" s="62">
        <v>330040346588</v>
      </c>
      <c r="C22" s="62" t="s">
        <v>105</v>
      </c>
      <c r="D22" s="71">
        <v>125863.67999999999</v>
      </c>
      <c r="E22" s="85">
        <v>0.4</v>
      </c>
      <c r="F22" s="64">
        <v>0</v>
      </c>
      <c r="G22" s="64">
        <v>0</v>
      </c>
      <c r="H22" s="64">
        <v>0</v>
      </c>
      <c r="I22" s="71" cm="1">
        <f t="array" ref="I22">_xlfn.IFS(C22="Captação",(D22*E22)+(D22*F22),C22="lançamento",D22*(1-F22)*(1-G22*H22),C22="Captação e Lançamento",(D22*E22)+(D22*F22)+D22*(1-F22)*(1-G22*H22),D22=0,0)</f>
        <v>50345.472000000002</v>
      </c>
    </row>
    <row r="23" spans="1:9">
      <c r="A23" s="61" t="s">
        <v>16</v>
      </c>
      <c r="B23" s="63" t="s">
        <v>104</v>
      </c>
      <c r="C23" s="86" t="s">
        <v>104</v>
      </c>
      <c r="D23" s="70">
        <v>0</v>
      </c>
      <c r="E23" s="66" t="s">
        <v>104</v>
      </c>
      <c r="F23" s="66" t="s">
        <v>104</v>
      </c>
      <c r="G23" s="66" t="s">
        <v>104</v>
      </c>
      <c r="H23" s="66" t="s">
        <v>104</v>
      </c>
      <c r="I23" s="71" cm="1">
        <f t="array" ref="I23">_xlfn.IFS(C23="Captação",(D23*E23)+(D23*F23),C23="lançamento",D23*(1-F23)*(1-G23*H23),C23="Captação e Lançamento",(D23*E23)+(D23*F23)+D23*(1-F23)*(1-G23*H23),D23=0,0)</f>
        <v>0</v>
      </c>
    </row>
    <row r="24" spans="1:9">
      <c r="A24" s="72"/>
      <c r="B24" s="72"/>
      <c r="C24" s="72"/>
      <c r="D24" s="72"/>
      <c r="E24" s="72"/>
      <c r="F24" s="72"/>
      <c r="G24" s="72"/>
      <c r="H24" s="72"/>
      <c r="I24" s="72"/>
    </row>
    <row r="25" spans="1:9">
      <c r="A25" s="72" t="s">
        <v>76</v>
      </c>
      <c r="B25" s="130" t="s">
        <v>96</v>
      </c>
      <c r="C25" s="130"/>
      <c r="D25" s="130"/>
      <c r="E25" s="130"/>
      <c r="F25" s="130"/>
      <c r="G25" s="130"/>
      <c r="H25" s="130"/>
      <c r="I25" s="130"/>
    </row>
    <row r="26" spans="1:9">
      <c r="A26" s="114" t="s">
        <v>51</v>
      </c>
      <c r="B26" s="118" t="s">
        <v>107</v>
      </c>
      <c r="C26" s="122" t="s">
        <v>111</v>
      </c>
      <c r="D26" s="115" t="s">
        <v>102</v>
      </c>
      <c r="E26" s="128" t="s">
        <v>37</v>
      </c>
      <c r="F26" s="128"/>
      <c r="G26" s="128"/>
      <c r="H26" s="128"/>
      <c r="I26" s="129" t="s">
        <v>103</v>
      </c>
    </row>
    <row r="27" spans="1:9">
      <c r="A27" s="114"/>
      <c r="B27" s="118"/>
      <c r="C27" s="123"/>
      <c r="D27" s="115"/>
      <c r="E27" s="67" t="s">
        <v>38</v>
      </c>
      <c r="F27" s="67" t="s">
        <v>39</v>
      </c>
      <c r="G27" s="67" t="s">
        <v>40</v>
      </c>
      <c r="H27" s="67" t="s">
        <v>41</v>
      </c>
      <c r="I27" s="129"/>
    </row>
    <row r="28" spans="1:9">
      <c r="A28" s="61" t="s">
        <v>11</v>
      </c>
      <c r="B28" s="63" t="s">
        <v>104</v>
      </c>
      <c r="C28" s="86" t="s">
        <v>104</v>
      </c>
      <c r="D28" s="70">
        <v>0</v>
      </c>
      <c r="E28" s="66" t="s">
        <v>104</v>
      </c>
      <c r="F28" s="66" t="s">
        <v>104</v>
      </c>
      <c r="G28" s="66" t="s">
        <v>104</v>
      </c>
      <c r="H28" s="66" t="s">
        <v>104</v>
      </c>
      <c r="I28" s="71" cm="1">
        <f t="array" ref="I28">_xlfn.IFS(C28="Captação",(D28*E28)+(D28*F28),C28="lançamento",D28*(1-F28)*(1-G28*H28),C28="Captação e Lançamento",(D28*E28)+(D28*F28)+D28*(1-F28)*(1-G28*H28),D28=0,0)</f>
        <v>0</v>
      </c>
    </row>
    <row r="29" spans="1:9">
      <c r="A29" s="61" t="s">
        <v>12</v>
      </c>
      <c r="B29" s="63" t="s">
        <v>104</v>
      </c>
      <c r="C29" s="86" t="s">
        <v>104</v>
      </c>
      <c r="D29" s="70">
        <v>0</v>
      </c>
      <c r="E29" s="66" t="s">
        <v>104</v>
      </c>
      <c r="F29" s="66" t="s">
        <v>104</v>
      </c>
      <c r="G29" s="66" t="s">
        <v>104</v>
      </c>
      <c r="H29" s="66" t="s">
        <v>104</v>
      </c>
      <c r="I29" s="71" cm="1">
        <f t="array" ref="I29">_xlfn.IFS(C29="Captação",(D29*E29)+(D29*F29),C29="lançamento",D29*(1-F29)*(1-G29*H29),C29="Captação e Lançamento",(D29*E29)+(D29*F29)+D29*(1-F29)*(1-G29*H29),D29=0,0)</f>
        <v>0</v>
      </c>
    </row>
    <row r="30" spans="1:9">
      <c r="A30" s="61" t="s">
        <v>13</v>
      </c>
      <c r="B30" s="63" t="s">
        <v>104</v>
      </c>
      <c r="C30" s="86" t="s">
        <v>104</v>
      </c>
      <c r="D30" s="70">
        <v>0</v>
      </c>
      <c r="E30" s="66" t="s">
        <v>104</v>
      </c>
      <c r="F30" s="66" t="s">
        <v>104</v>
      </c>
      <c r="G30" s="66" t="s">
        <v>104</v>
      </c>
      <c r="H30" s="66" t="s">
        <v>104</v>
      </c>
      <c r="I30" s="71" cm="1">
        <f t="array" ref="I30">_xlfn.IFS(C30="Captação",(D30*E30)+(D30*F30),C30="lançamento",D30*(1-F30)*(1-G30*H30),C30="Captação e Lançamento",(D30*E30)+(D30*F30)+D30*(1-F30)*(1-G30*H30),D30=0,0)</f>
        <v>0</v>
      </c>
    </row>
    <row r="31" spans="1:9">
      <c r="A31" s="61" t="s">
        <v>14</v>
      </c>
      <c r="B31" s="63" t="s">
        <v>104</v>
      </c>
      <c r="C31" s="86" t="s">
        <v>104</v>
      </c>
      <c r="D31" s="70">
        <v>0</v>
      </c>
      <c r="E31" s="66" t="s">
        <v>104</v>
      </c>
      <c r="F31" s="66" t="s">
        <v>104</v>
      </c>
      <c r="G31" s="66" t="s">
        <v>104</v>
      </c>
      <c r="H31" s="66" t="s">
        <v>104</v>
      </c>
      <c r="I31" s="71" cm="1">
        <f t="array" ref="I31">_xlfn.IFS(C31="Captação",(D31*E31)+(D31*F31),C31="lançamento",D31*(1-F31)*(1-G31*H31),C31="Captação e Lançamento",(D31*E31)+(D31*F31)+D31*(1-F31)*(1-G31*H31),D31=0,0)</f>
        <v>0</v>
      </c>
    </row>
    <row r="32" spans="1:9">
      <c r="A32" s="120" t="s">
        <v>15</v>
      </c>
      <c r="B32" s="62">
        <v>330031467114</v>
      </c>
      <c r="C32" s="62" t="s">
        <v>105</v>
      </c>
      <c r="D32" s="71">
        <v>252288</v>
      </c>
      <c r="E32" s="85">
        <v>0.4</v>
      </c>
      <c r="F32" s="64">
        <v>0</v>
      </c>
      <c r="G32" s="64">
        <v>0</v>
      </c>
      <c r="H32" s="64">
        <v>0</v>
      </c>
      <c r="I32" s="71" cm="1">
        <f t="array" ref="I32">_xlfn.IFS(C32="Captação",(D32*E32)+(D32*F32),C32="lançamento",D32*(1-F32)*(1-G32*H32),C32="Captação e Lançamento",(D32*E32)+(D32*F32)+D32*(1-F32)*(1-G32*H32),D32=0,0)</f>
        <v>100915.20000000001</v>
      </c>
    </row>
    <row r="33" spans="1:9">
      <c r="A33" s="120"/>
      <c r="B33" s="62">
        <v>330031868100</v>
      </c>
      <c r="C33" s="62" t="s">
        <v>105</v>
      </c>
      <c r="D33" s="71">
        <v>9897984</v>
      </c>
      <c r="E33" s="85">
        <v>0.4</v>
      </c>
      <c r="F33" s="64">
        <v>0</v>
      </c>
      <c r="G33" s="64">
        <v>0</v>
      </c>
      <c r="H33" s="64">
        <v>0</v>
      </c>
      <c r="I33" s="71" cm="1">
        <f t="array" ref="I33">_xlfn.IFS(C33="Captação",(D33*E33)+(D33*F33),C33="lançamento",D33*(1-F33)*(1-G33*H33),C33="Captação e Lançamento",(D33*E33)+(D33*F33)+D33*(1-F33)*(1-G33*H33),D33=0,0)</f>
        <v>3959193.6000000001</v>
      </c>
    </row>
    <row r="34" spans="1:9">
      <c r="A34" s="121"/>
      <c r="B34" s="62">
        <v>330040346588</v>
      </c>
      <c r="C34" s="62" t="s">
        <v>105</v>
      </c>
      <c r="D34" s="71">
        <v>125863.67999999999</v>
      </c>
      <c r="E34" s="85">
        <v>0.4</v>
      </c>
      <c r="F34" s="64">
        <v>0</v>
      </c>
      <c r="G34" s="64">
        <v>0</v>
      </c>
      <c r="H34" s="64">
        <v>0</v>
      </c>
      <c r="I34" s="71" cm="1">
        <f t="array" ref="I34">_xlfn.IFS(C34="Captação",(D34*E34)+(D34*F34),C34="lançamento",D34*(1-F34)*(1-G34*H34),C34="Captação e Lançamento",(D34*E34)+(D34*F34)+D34*(1-F34)*(1-G34*H34),D34=0,0)</f>
        <v>50345.472000000002</v>
      </c>
    </row>
    <row r="35" spans="1:9">
      <c r="A35" s="61" t="s">
        <v>16</v>
      </c>
      <c r="B35" s="63" t="s">
        <v>104</v>
      </c>
      <c r="C35" s="86" t="s">
        <v>104</v>
      </c>
      <c r="D35" s="70">
        <v>0</v>
      </c>
      <c r="E35" s="66" t="s">
        <v>104</v>
      </c>
      <c r="F35" s="66" t="s">
        <v>104</v>
      </c>
      <c r="G35" s="66" t="s">
        <v>104</v>
      </c>
      <c r="H35" s="66" t="s">
        <v>104</v>
      </c>
      <c r="I35" s="71" cm="1">
        <f t="array" ref="I35">_xlfn.IFS(C35="Captação",(D35*E35)+(D35*F35),C35="lançamento",D35*(1-F35)*(1-G35*H35),C35="Captação e Lançamento",(D35*E35)+(D35*F35)+D35*(1-F35)*(1-G35*H35),D35=0,0)</f>
        <v>0</v>
      </c>
    </row>
  </sheetData>
  <mergeCells count="24">
    <mergeCell ref="B13:I13"/>
    <mergeCell ref="A1:I1"/>
    <mergeCell ref="B3:I3"/>
    <mergeCell ref="A4:A5"/>
    <mergeCell ref="B4:B5"/>
    <mergeCell ref="D4:D5"/>
    <mergeCell ref="E4:H4"/>
    <mergeCell ref="I4:I5"/>
    <mergeCell ref="C4:C5"/>
    <mergeCell ref="D14:D15"/>
    <mergeCell ref="E14:H14"/>
    <mergeCell ref="I14:I15"/>
    <mergeCell ref="A32:A34"/>
    <mergeCell ref="A26:A27"/>
    <mergeCell ref="B26:B27"/>
    <mergeCell ref="D26:D27"/>
    <mergeCell ref="E26:H26"/>
    <mergeCell ref="I26:I27"/>
    <mergeCell ref="B25:I25"/>
    <mergeCell ref="A20:A22"/>
    <mergeCell ref="C14:C15"/>
    <mergeCell ref="C26:C27"/>
    <mergeCell ref="A14:A15"/>
    <mergeCell ref="B14:B15"/>
  </mergeCells>
  <pageMargins left="0.511811024" right="0.511811024" top="0.78740157499999996" bottom="0.78740157499999996" header="0.31496062000000002" footer="0.31496062000000002"/>
  <drawing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ACFE24-201C-4F96-9DEF-C6F104CB4EF7}">
  <dimension ref="A1:M54"/>
  <sheetViews>
    <sheetView topLeftCell="A13" zoomScale="120" zoomScaleNormal="120" workbookViewId="0">
      <selection activeCell="M40" sqref="M40"/>
    </sheetView>
  </sheetViews>
  <sheetFormatPr defaultColWidth="9.125" defaultRowHeight="11.25"/>
  <cols>
    <col min="1" max="1" width="18.25" style="32" customWidth="1"/>
    <col min="2" max="2" width="13.125" style="32" customWidth="1"/>
    <col min="3" max="3" width="19.125" style="32" customWidth="1"/>
    <col min="4" max="4" width="11.75" style="32" customWidth="1"/>
    <col min="5" max="6" width="5" style="32" bestFit="1" customWidth="1"/>
    <col min="7" max="7" width="5.75" style="32" bestFit="1" customWidth="1"/>
    <col min="8" max="8" width="7.875" style="32" bestFit="1" customWidth="1"/>
    <col min="9" max="9" width="16.25" style="32" customWidth="1"/>
    <col min="10" max="11" width="9.125" style="32"/>
    <col min="12" max="13" width="10" style="32" bestFit="1" customWidth="1"/>
    <col min="14" max="16384" width="9.125" style="32"/>
  </cols>
  <sheetData>
    <row r="1" spans="1:12">
      <c r="A1" s="127" t="s">
        <v>113</v>
      </c>
      <c r="B1" s="127"/>
      <c r="C1" s="127"/>
      <c r="D1" s="127"/>
      <c r="E1" s="127"/>
      <c r="F1" s="127"/>
      <c r="G1" s="127"/>
      <c r="H1" s="127"/>
      <c r="I1" s="127"/>
    </row>
    <row r="2" spans="1:12">
      <c r="A2" s="83"/>
      <c r="B2" s="83"/>
      <c r="C2" s="83"/>
      <c r="D2" s="83"/>
      <c r="E2" s="83"/>
      <c r="F2" s="83"/>
      <c r="G2" s="83"/>
      <c r="H2" s="83"/>
      <c r="I2" s="83"/>
    </row>
    <row r="3" spans="1:12">
      <c r="A3" s="72" t="s">
        <v>69</v>
      </c>
      <c r="B3" s="130" t="s">
        <v>98</v>
      </c>
      <c r="C3" s="131"/>
      <c r="D3" s="131"/>
      <c r="E3" s="131"/>
      <c r="F3" s="131"/>
      <c r="G3" s="131"/>
      <c r="H3" s="131"/>
      <c r="I3" s="130"/>
    </row>
    <row r="4" spans="1:12">
      <c r="A4" s="114" t="s">
        <v>51</v>
      </c>
      <c r="B4" s="118" t="s">
        <v>107</v>
      </c>
      <c r="C4" s="122" t="s">
        <v>111</v>
      </c>
      <c r="D4" s="115" t="s">
        <v>102</v>
      </c>
      <c r="E4" s="128" t="s">
        <v>37</v>
      </c>
      <c r="F4" s="128"/>
      <c r="G4" s="128"/>
      <c r="H4" s="128"/>
      <c r="I4" s="129" t="s">
        <v>103</v>
      </c>
    </row>
    <row r="5" spans="1:12">
      <c r="A5" s="114"/>
      <c r="B5" s="118"/>
      <c r="C5" s="123"/>
      <c r="D5" s="115"/>
      <c r="E5" s="67" t="s">
        <v>38</v>
      </c>
      <c r="F5" s="67" t="s">
        <v>39</v>
      </c>
      <c r="G5" s="67" t="s">
        <v>40</v>
      </c>
      <c r="H5" s="67" t="s">
        <v>41</v>
      </c>
      <c r="I5" s="129"/>
    </row>
    <row r="6" spans="1:12">
      <c r="A6" s="61" t="s">
        <v>11</v>
      </c>
      <c r="B6" s="63" t="s">
        <v>104</v>
      </c>
      <c r="C6" s="86" t="s">
        <v>104</v>
      </c>
      <c r="D6" s="70">
        <v>0</v>
      </c>
      <c r="E6" s="66" t="s">
        <v>104</v>
      </c>
      <c r="F6" s="66" t="s">
        <v>104</v>
      </c>
      <c r="G6" s="66" t="s">
        <v>104</v>
      </c>
      <c r="H6" s="66" t="s">
        <v>104</v>
      </c>
      <c r="I6" s="71" cm="1">
        <f t="array" ref="I6">_xlfn.IFS(C6="Captação",(D6*E6)+(D6*F6),C6="lançamento",D6*(1-F6)*(1-G6*H6),C6="Captação e Lançamento",(D6*E6)+(D6*F6)+D6*(1-F6)*(1-G6*H6),D6=0,0)</f>
        <v>0</v>
      </c>
    </row>
    <row r="7" spans="1:12">
      <c r="A7" s="61" t="s">
        <v>12</v>
      </c>
      <c r="B7" s="63" t="s">
        <v>104</v>
      </c>
      <c r="C7" s="86" t="s">
        <v>104</v>
      </c>
      <c r="D7" s="70">
        <v>0</v>
      </c>
      <c r="E7" s="66" t="s">
        <v>104</v>
      </c>
      <c r="F7" s="66" t="s">
        <v>104</v>
      </c>
      <c r="G7" s="66" t="s">
        <v>104</v>
      </c>
      <c r="H7" s="66" t="s">
        <v>104</v>
      </c>
      <c r="I7" s="71" cm="1">
        <f t="array" ref="I7">_xlfn.IFS(C7="Captação",(D7*E7)+(D7*F7),C7="lançamento",D7*(1-F7)*(1-G7*H7),C7="Captação e Lançamento",(D7*E7)+(D7*F7)+D7*(1-F7)*(1-G7*H7),D7=0,0)</f>
        <v>0</v>
      </c>
    </row>
    <row r="8" spans="1:12">
      <c r="A8" s="61" t="s">
        <v>13</v>
      </c>
      <c r="B8" s="63" t="s">
        <v>104</v>
      </c>
      <c r="C8" s="63" t="s">
        <v>104</v>
      </c>
      <c r="D8" s="71">
        <v>0</v>
      </c>
      <c r="E8" s="62" t="s">
        <v>104</v>
      </c>
      <c r="F8" s="62" t="s">
        <v>104</v>
      </c>
      <c r="G8" s="62" t="s">
        <v>104</v>
      </c>
      <c r="H8" s="62" t="s">
        <v>104</v>
      </c>
      <c r="I8" s="71" cm="1">
        <f t="array" ref="I8">_xlfn.IFS(C8="Captação",(D8*E8)+(D8*F8),C8="lançamento",D8*(1-F8)*(1-G8*H8),C8="Captação e Lançamento",(D8*E8)+(D8*F8)+D8*(1-F8)*(1-G8*H8),D8=0,0)</f>
        <v>0</v>
      </c>
    </row>
    <row r="9" spans="1:12">
      <c r="A9" s="119" t="s">
        <v>14</v>
      </c>
      <c r="B9" s="62">
        <v>330003707939</v>
      </c>
      <c r="C9" s="62" t="s">
        <v>105</v>
      </c>
      <c r="D9" s="71">
        <v>4672</v>
      </c>
      <c r="E9" s="64">
        <v>0.4</v>
      </c>
      <c r="F9" s="64">
        <v>1</v>
      </c>
      <c r="G9" s="62" t="s">
        <v>104</v>
      </c>
      <c r="H9" s="62" t="s">
        <v>104</v>
      </c>
      <c r="I9" s="71" cm="1">
        <f t="array" ref="I9">_xlfn.IFS(C9="Captação",(D9*E9)+(D9*F9),C9="lançamento",D9*(1-F9)*(1-G9*H9),C9="Captação e Lançamento",(D9*E9)+(D9*F9)+D9*(1-F9)*(1-G9*H9),D9=0,0)</f>
        <v>6540.8</v>
      </c>
    </row>
    <row r="10" spans="1:12">
      <c r="A10" s="120"/>
      <c r="B10" s="62">
        <v>330003743498</v>
      </c>
      <c r="C10" s="62" t="s">
        <v>105</v>
      </c>
      <c r="D10" s="71">
        <v>1031040</v>
      </c>
      <c r="E10" s="64">
        <v>0.4</v>
      </c>
      <c r="F10" s="64">
        <v>1</v>
      </c>
      <c r="G10" s="62" t="s">
        <v>104</v>
      </c>
      <c r="H10" s="62" t="s">
        <v>104</v>
      </c>
      <c r="I10" s="71" cm="1">
        <f t="array" ref="I10">_xlfn.IFS(C10="Captação",(D10*E10)+(D10*F10),C10="lançamento",D10*(1-F10)*(1-G10*H10),C10="Captação e Lançamento",(D10*E10)+(D10*F10)+D10*(1-F10)*(1-G10*H10),D10=0,0)</f>
        <v>1443456</v>
      </c>
      <c r="L10" s="71"/>
    </row>
    <row r="11" spans="1:12">
      <c r="A11" s="120"/>
      <c r="B11" s="62">
        <v>330026732034</v>
      </c>
      <c r="C11" s="62" t="s">
        <v>105</v>
      </c>
      <c r="D11" s="71">
        <v>10950</v>
      </c>
      <c r="E11" s="64">
        <v>0.4</v>
      </c>
      <c r="F11" s="64">
        <v>1</v>
      </c>
      <c r="G11" s="62" t="s">
        <v>104</v>
      </c>
      <c r="H11" s="62" t="s">
        <v>104</v>
      </c>
      <c r="I11" s="71" cm="1">
        <f t="array" ref="I11">_xlfn.IFS(C11="Captação",(D11*E11)+(D11*F11),C11="lançamento",D11*(1-F11)*(1-G11*H11),C11="Captação e Lançamento",(D11*E11)+(D11*F11)+D11*(1-F11)*(1-G11*H11),D11=0,0)</f>
        <v>15330</v>
      </c>
    </row>
    <row r="12" spans="1:12">
      <c r="A12" s="120"/>
      <c r="B12" s="62">
        <v>330028316585</v>
      </c>
      <c r="C12" s="62" t="s">
        <v>105</v>
      </c>
      <c r="D12" s="71">
        <v>7296</v>
      </c>
      <c r="E12" s="64">
        <v>0.4</v>
      </c>
      <c r="F12" s="64">
        <v>1</v>
      </c>
      <c r="G12" s="62" t="s">
        <v>104</v>
      </c>
      <c r="H12" s="62" t="s">
        <v>104</v>
      </c>
      <c r="I12" s="71" cm="1">
        <f t="array" ref="I12">_xlfn.IFS(C12="Captação",(D12*E12)+(D12*F12),C12="lançamento",D12*(1-F12)*(1-G12*H12),C12="Captação e Lançamento",(D12*E12)+(D12*F12)+D12*(1-F12)*(1-G12*H12),D12=0,0)</f>
        <v>10214.4</v>
      </c>
    </row>
    <row r="13" spans="1:12">
      <c r="A13" s="120"/>
      <c r="B13" s="62">
        <v>330005088683</v>
      </c>
      <c r="C13" s="62" t="s">
        <v>105</v>
      </c>
      <c r="D13" s="71">
        <v>6307200</v>
      </c>
      <c r="E13" s="64">
        <v>0.4</v>
      </c>
      <c r="F13" s="64">
        <v>1</v>
      </c>
      <c r="G13" s="62" t="s">
        <v>104</v>
      </c>
      <c r="H13" s="62" t="s">
        <v>104</v>
      </c>
      <c r="I13" s="71" cm="1">
        <f t="array" ref="I13">_xlfn.IFS(C13="Captação",(D13*E13)+(D13*F13),C13="lançamento",D13*(1-F13)*(1-G13*H13),C13="Captação e Lançamento",(D13*E13)+(D13*F13)+D13*(1-F13)*(1-G13*H13),D13=0,0)</f>
        <v>8830080</v>
      </c>
    </row>
    <row r="14" spans="1:12">
      <c r="A14" s="120"/>
      <c r="B14" s="62">
        <v>330005747555</v>
      </c>
      <c r="C14" s="62" t="s">
        <v>112</v>
      </c>
      <c r="D14" s="71">
        <v>60225</v>
      </c>
      <c r="E14" s="64">
        <v>0.4</v>
      </c>
      <c r="F14" s="84">
        <v>0.02</v>
      </c>
      <c r="G14" s="64">
        <v>1</v>
      </c>
      <c r="H14" s="84">
        <v>0.97897990726429673</v>
      </c>
      <c r="I14" s="71" cm="1">
        <f t="array" ref="I14">_xlfn.IFS(C14="Captação",(D14*E14)+(D14*F14),C14="lançamento",D14*(1-F14)*(1-G14*H14),C14="Captação e Lançamento",(D14*E14)+(D14*F14)+D14*(1-F14)*(1-G14*H14),D14=0,0)</f>
        <v>26535.116383307573</v>
      </c>
    </row>
    <row r="15" spans="1:12">
      <c r="A15" s="121"/>
      <c r="B15" s="62">
        <v>330008254053</v>
      </c>
      <c r="C15" s="62" t="s">
        <v>112</v>
      </c>
      <c r="D15" s="71">
        <v>3220.8</v>
      </c>
      <c r="E15" s="64">
        <v>0.4</v>
      </c>
      <c r="F15" s="64">
        <v>0.8</v>
      </c>
      <c r="G15" s="64">
        <v>1</v>
      </c>
      <c r="H15" s="84">
        <v>0.74409090909090914</v>
      </c>
      <c r="I15" s="71" cm="1">
        <f t="array" ref="I15">_xlfn.IFS(C15="Captação",(D15*E15)+(D15*F15),C15="lançamento",D15*(1-F15)*(1-G15*H15),C15="Captação e Lançamento",(D15*E15)+(D15*F15)+D15*(1-F15)*(1-G15*H15),D15=0,0)</f>
        <v>4029.8064000000004</v>
      </c>
    </row>
    <row r="16" spans="1:12">
      <c r="A16" s="61" t="s">
        <v>15</v>
      </c>
      <c r="B16" s="63" t="s">
        <v>104</v>
      </c>
      <c r="C16" s="63" t="s">
        <v>104</v>
      </c>
      <c r="D16" s="71">
        <v>0</v>
      </c>
      <c r="E16" s="62" t="s">
        <v>104</v>
      </c>
      <c r="F16" s="62" t="s">
        <v>104</v>
      </c>
      <c r="G16" s="62" t="s">
        <v>104</v>
      </c>
      <c r="H16" s="62" t="s">
        <v>104</v>
      </c>
      <c r="I16" s="71" cm="1">
        <f t="array" ref="I16">_xlfn.IFS(C16="Captação",(D16*E16)+(D16*F16),C16="lançamento",D16*(1-F16)*(1-G16*H16),C16="Captação e Lançamento",(D16*E16)+(D16*F16)+D16*(1-F16)*(1-G16*H16),D16=0,0)</f>
        <v>0</v>
      </c>
    </row>
    <row r="17" spans="1:9" ht="15" customHeight="1">
      <c r="A17" s="119" t="s">
        <v>16</v>
      </c>
      <c r="B17" s="62">
        <v>330028773480</v>
      </c>
      <c r="C17" s="62" t="s">
        <v>105</v>
      </c>
      <c r="D17" s="71">
        <v>8812.7999999999993</v>
      </c>
      <c r="E17" s="64">
        <v>0.4</v>
      </c>
      <c r="F17" s="64">
        <v>1</v>
      </c>
      <c r="G17" s="62" t="s">
        <v>104</v>
      </c>
      <c r="H17" s="62" t="s">
        <v>104</v>
      </c>
      <c r="I17" s="71" cm="1">
        <f t="array" ref="I17">_xlfn.IFS(C17="Captação",(D17*E17)+(D17*F17),C17="lançamento",D17*(1-F17)*(1-G17*H17),C17="Captação e Lançamento",(D17*E17)+(D17*F17)+D17*(1-F17)*(1-G17*H17),D17=0,0)</f>
        <v>12337.919999999998</v>
      </c>
    </row>
    <row r="18" spans="1:9">
      <c r="A18" s="121"/>
      <c r="B18" s="62">
        <v>330031439846</v>
      </c>
      <c r="C18" s="62" t="s">
        <v>105</v>
      </c>
      <c r="D18" s="71">
        <v>10920</v>
      </c>
      <c r="E18" s="64">
        <v>0.4</v>
      </c>
      <c r="F18" s="64">
        <v>1</v>
      </c>
      <c r="G18" s="62" t="s">
        <v>104</v>
      </c>
      <c r="H18" s="62" t="s">
        <v>104</v>
      </c>
      <c r="I18" s="71" cm="1">
        <f t="array" ref="I18">_xlfn.IFS(C18="Captação",(D18*E18)+(D18*F18),C18="lançamento",D18*(1-F18)*(1-G18*H18),C18="Captação e Lançamento",(D18*E18)+(D18*F18)+D18*(1-F18)*(1-G18*H18),D18=0,0)</f>
        <v>15288</v>
      </c>
    </row>
    <row r="19" spans="1:9">
      <c r="A19" s="59"/>
      <c r="B19" s="80"/>
      <c r="C19" s="80"/>
      <c r="D19" s="81"/>
      <c r="E19" s="82"/>
      <c r="F19" s="82"/>
      <c r="G19" s="82"/>
      <c r="H19" s="82"/>
      <c r="I19" s="81"/>
    </row>
    <row r="20" spans="1:9">
      <c r="A20" s="59"/>
      <c r="B20" s="80"/>
      <c r="C20" s="80"/>
      <c r="D20" s="81"/>
      <c r="E20" s="82"/>
      <c r="F20" s="82"/>
      <c r="G20" s="82"/>
      <c r="H20" s="82"/>
      <c r="I20" s="81"/>
    </row>
    <row r="21" spans="1:9">
      <c r="A21" s="72" t="s">
        <v>71</v>
      </c>
      <c r="B21" s="130" t="s">
        <v>97</v>
      </c>
      <c r="C21" s="130"/>
      <c r="D21" s="130"/>
      <c r="E21" s="130"/>
      <c r="F21" s="130"/>
      <c r="G21" s="130"/>
      <c r="H21" s="130"/>
      <c r="I21" s="130"/>
    </row>
    <row r="22" spans="1:9" ht="11.25" customHeight="1">
      <c r="A22" s="114" t="s">
        <v>51</v>
      </c>
      <c r="B22" s="114" t="s">
        <v>107</v>
      </c>
      <c r="C22" s="114" t="s">
        <v>111</v>
      </c>
      <c r="D22" s="115" t="s">
        <v>102</v>
      </c>
      <c r="E22" s="128" t="s">
        <v>37</v>
      </c>
      <c r="F22" s="128"/>
      <c r="G22" s="128"/>
      <c r="H22" s="128"/>
      <c r="I22" s="138" t="s">
        <v>103</v>
      </c>
    </row>
    <row r="23" spans="1:9">
      <c r="A23" s="114"/>
      <c r="B23" s="114"/>
      <c r="C23" s="114"/>
      <c r="D23" s="115"/>
      <c r="E23" s="67" t="s">
        <v>38</v>
      </c>
      <c r="F23" s="67" t="s">
        <v>39</v>
      </c>
      <c r="G23" s="67" t="s">
        <v>40</v>
      </c>
      <c r="H23" s="67" t="s">
        <v>41</v>
      </c>
      <c r="I23" s="138"/>
    </row>
    <row r="24" spans="1:9">
      <c r="A24" s="61" t="s">
        <v>11</v>
      </c>
      <c r="B24" s="63" t="s">
        <v>104</v>
      </c>
      <c r="C24" s="63" t="s">
        <v>104</v>
      </c>
      <c r="D24" s="71">
        <v>0</v>
      </c>
      <c r="E24" s="62" t="s">
        <v>104</v>
      </c>
      <c r="F24" s="62" t="s">
        <v>104</v>
      </c>
      <c r="G24" s="62" t="s">
        <v>104</v>
      </c>
      <c r="H24" s="62" t="s">
        <v>104</v>
      </c>
      <c r="I24" s="71" cm="1">
        <f t="array" ref="I24">_xlfn.IFS(C24="Captação",(D24*E24)+(D24*F24),C24="lançamento",D24*(1-F24)*(1-G24*H24),C24="Captação e Lançamento",(D24*E24)+(D24*F24)+D24*(1-F24)*(1-G24*H24),D24=0,0)</f>
        <v>0</v>
      </c>
    </row>
    <row r="25" spans="1:9">
      <c r="A25" s="61" t="s">
        <v>12</v>
      </c>
      <c r="B25" s="63" t="s">
        <v>104</v>
      </c>
      <c r="C25" s="63" t="s">
        <v>104</v>
      </c>
      <c r="D25" s="71">
        <v>0</v>
      </c>
      <c r="E25" s="62" t="s">
        <v>104</v>
      </c>
      <c r="F25" s="62" t="s">
        <v>104</v>
      </c>
      <c r="G25" s="62" t="s">
        <v>104</v>
      </c>
      <c r="H25" s="62" t="s">
        <v>104</v>
      </c>
      <c r="I25" s="71" cm="1">
        <f t="array" ref="I25">_xlfn.IFS(C25="Captação",(D25*E25)+(D25*F25),C25="lançamento",D25*(1-F25)*(1-G25*H25),C25="Captação e Lançamento",(D25*E25)+(D25*F25)+D25*(1-F25)*(1-G25*H25),D25=0,0)</f>
        <v>0</v>
      </c>
    </row>
    <row r="26" spans="1:9">
      <c r="A26" s="61" t="s">
        <v>13</v>
      </c>
      <c r="B26" s="63" t="s">
        <v>104</v>
      </c>
      <c r="C26" s="63" t="s">
        <v>104</v>
      </c>
      <c r="D26" s="71">
        <v>0</v>
      </c>
      <c r="E26" s="62" t="s">
        <v>104</v>
      </c>
      <c r="F26" s="62" t="s">
        <v>104</v>
      </c>
      <c r="G26" s="62" t="s">
        <v>104</v>
      </c>
      <c r="H26" s="62" t="s">
        <v>104</v>
      </c>
      <c r="I26" s="71" cm="1">
        <f t="array" ref="I26">_xlfn.IFS(C26="Captação",(D26*E26)+(D26*F26),C26="lançamento",D26*(1-F26)*(1-G26*H26),C26="Captação e Lançamento",(D26*E26)+(D26*F26)+D26*(1-F26)*(1-G26*H26),D26=0,0)</f>
        <v>0</v>
      </c>
    </row>
    <row r="27" spans="1:9">
      <c r="A27" s="132" t="s">
        <v>14</v>
      </c>
      <c r="B27" s="62">
        <v>330003707939</v>
      </c>
      <c r="C27" s="62" t="s">
        <v>105</v>
      </c>
      <c r="D27" s="71">
        <v>23680</v>
      </c>
      <c r="E27" s="64">
        <v>0.4</v>
      </c>
      <c r="F27" s="64">
        <v>1</v>
      </c>
      <c r="G27" s="62" t="s">
        <v>104</v>
      </c>
      <c r="H27" s="62" t="s">
        <v>104</v>
      </c>
      <c r="I27" s="71" cm="1">
        <f t="array" ref="I27">_xlfn.IFS(C27="Captação",(D27*E27)+(D27*F27),C27="lançamento",D27*(1-F27)*(1-G27*H27),C27="Captação e Lançamento",(D27*E27)+(D27*F27)+D27*(1-F27)*(1-G27*H27),D27=0,0)</f>
        <v>33152</v>
      </c>
    </row>
    <row r="28" spans="1:9">
      <c r="A28" s="132"/>
      <c r="B28" s="62">
        <v>330003743498</v>
      </c>
      <c r="C28" s="62" t="s">
        <v>105</v>
      </c>
      <c r="D28" s="71">
        <v>1031040</v>
      </c>
      <c r="E28" s="64">
        <v>0.4</v>
      </c>
      <c r="F28" s="64">
        <v>1</v>
      </c>
      <c r="G28" s="62" t="s">
        <v>104</v>
      </c>
      <c r="H28" s="62" t="s">
        <v>104</v>
      </c>
      <c r="I28" s="71" cm="1">
        <f t="array" ref="I28">_xlfn.IFS(C28="Captação",(D28*E28)+(D28*F28),C28="lançamento",D28*(1-F28)*(1-G28*H28),C28="Captação e Lançamento",(D28*E28)+(D28*F28)+D28*(1-F28)*(1-G28*H28),D28=0,0)</f>
        <v>1443456</v>
      </c>
    </row>
    <row r="29" spans="1:9">
      <c r="A29" s="132"/>
      <c r="B29" s="62">
        <v>330009843680</v>
      </c>
      <c r="C29" s="62" t="s">
        <v>105</v>
      </c>
      <c r="D29" s="71">
        <v>322200</v>
      </c>
      <c r="E29" s="64">
        <v>0.4</v>
      </c>
      <c r="F29" s="64">
        <v>1</v>
      </c>
      <c r="G29" s="62" t="s">
        <v>104</v>
      </c>
      <c r="H29" s="62" t="s">
        <v>104</v>
      </c>
      <c r="I29" s="71" cm="1">
        <f t="array" ref="I29">_xlfn.IFS(C29="Captação",(D29*E29)+(D29*F29),C29="lançamento",D29*(1-F29)*(1-G29*H29),C29="Captação e Lançamento",(D29*E29)+(D29*F29)+D29*(1-F29)*(1-G29*H29),D29=0,0)</f>
        <v>451080</v>
      </c>
    </row>
    <row r="30" spans="1:9">
      <c r="A30" s="132"/>
      <c r="B30" s="62">
        <v>330026732034</v>
      </c>
      <c r="C30" s="62" t="s">
        <v>105</v>
      </c>
      <c r="D30" s="71">
        <v>10950</v>
      </c>
      <c r="E30" s="64">
        <v>0.4</v>
      </c>
      <c r="F30" s="64">
        <v>1</v>
      </c>
      <c r="G30" s="62" t="s">
        <v>104</v>
      </c>
      <c r="H30" s="62" t="s">
        <v>104</v>
      </c>
      <c r="I30" s="71" cm="1">
        <f t="array" ref="I30">_xlfn.IFS(C30="Captação",(D30*E30)+(D30*F30),C30="lançamento",D30*(1-F30)*(1-G30*H30),C30="Captação e Lançamento",(D30*E30)+(D30*F30)+D30*(1-F30)*(1-G30*H30),D30=0,0)</f>
        <v>15330</v>
      </c>
    </row>
    <row r="31" spans="1:9">
      <c r="A31" s="132"/>
      <c r="B31" s="62">
        <v>330026834112</v>
      </c>
      <c r="C31" s="62" t="s">
        <v>105</v>
      </c>
      <c r="D31" s="71">
        <v>1200</v>
      </c>
      <c r="E31" s="64">
        <v>0.4</v>
      </c>
      <c r="F31" s="64">
        <v>0.2</v>
      </c>
      <c r="G31" s="62" t="s">
        <v>104</v>
      </c>
      <c r="H31" s="62" t="s">
        <v>104</v>
      </c>
      <c r="I31" s="71" cm="1">
        <f t="array" ref="I31">_xlfn.IFS(C31="Captação",(D31*E31)+(D31*F31),C31="lançamento",D31*(1-F31)*(1-G31*H31),C31="Captação e Lançamento",(D31*E31)+(D31*F31)+D31*(1-F31)*(1-G31*H31),D31=0,0)</f>
        <v>720</v>
      </c>
    </row>
    <row r="32" spans="1:9">
      <c r="A32" s="132"/>
      <c r="B32" s="62">
        <v>330028316585</v>
      </c>
      <c r="C32" s="62" t="s">
        <v>105</v>
      </c>
      <c r="D32" s="71">
        <v>7296</v>
      </c>
      <c r="E32" s="64">
        <v>0.4</v>
      </c>
      <c r="F32" s="64">
        <v>0.2</v>
      </c>
      <c r="G32" s="62" t="s">
        <v>104</v>
      </c>
      <c r="H32" s="62" t="s">
        <v>104</v>
      </c>
      <c r="I32" s="71" cm="1">
        <f t="array" ref="I32">_xlfn.IFS(C32="Captação",(D32*E32)+(D32*F32),C32="lançamento",D32*(1-F32)*(1-G32*H32),C32="Captação e Lançamento",(D32*E32)+(D32*F32)+D32*(1-F32)*(1-G32*H32),D32=0,0)</f>
        <v>4377.6000000000004</v>
      </c>
    </row>
    <row r="33" spans="1:13">
      <c r="A33" s="132"/>
      <c r="B33" s="62">
        <v>330031464794</v>
      </c>
      <c r="C33" s="62" t="s">
        <v>105</v>
      </c>
      <c r="D33" s="71">
        <v>841520</v>
      </c>
      <c r="E33" s="64">
        <v>0.4</v>
      </c>
      <c r="F33" s="64">
        <v>0.2</v>
      </c>
      <c r="G33" s="62" t="s">
        <v>104</v>
      </c>
      <c r="H33" s="62" t="s">
        <v>104</v>
      </c>
      <c r="I33" s="71" cm="1">
        <f t="array" ref="I33">_xlfn.IFS(C33="Captação",(D33*E33)+(D33*F33),C33="lançamento",D33*(1-F33)*(1-G33*H33),C33="Captação e Lançamento",(D33*E33)+(D33*F33)+D33*(1-F33)*(1-G33*H33),D33=0,0)</f>
        <v>504912</v>
      </c>
    </row>
    <row r="34" spans="1:13">
      <c r="A34" s="132"/>
      <c r="B34" s="62">
        <v>330005088683</v>
      </c>
      <c r="C34" s="62" t="s">
        <v>105</v>
      </c>
      <c r="D34" s="71">
        <v>6307200</v>
      </c>
      <c r="E34" s="64">
        <v>0.4</v>
      </c>
      <c r="F34" s="64">
        <v>1</v>
      </c>
      <c r="G34" s="62" t="s">
        <v>104</v>
      </c>
      <c r="H34" s="62" t="s">
        <v>104</v>
      </c>
      <c r="I34" s="71" cm="1">
        <f t="array" ref="I34">_xlfn.IFS(C34="Captação",(D34*E34)+(D34*F34),C34="lançamento",D34*(1-F34)*(1-G34*H34),C34="Captação e Lançamento",(D34*E34)+(D34*F34)+D34*(1-F34)*(1-G34*H34),D34=0,0)</f>
        <v>8830080</v>
      </c>
    </row>
    <row r="35" spans="1:13">
      <c r="A35" s="132"/>
      <c r="B35" s="62">
        <v>330005747555</v>
      </c>
      <c r="C35" s="62" t="s">
        <v>112</v>
      </c>
      <c r="D35" s="71">
        <v>60225</v>
      </c>
      <c r="E35" s="84">
        <v>0.4</v>
      </c>
      <c r="F35" s="84">
        <v>0.02</v>
      </c>
      <c r="G35" s="84">
        <v>1</v>
      </c>
      <c r="H35" s="84">
        <v>0.97897990726429673</v>
      </c>
      <c r="I35" s="71" cm="1">
        <f t="array" ref="I35">_xlfn.IFS(C35="Captação",(D35*E35)+(D35*F35),C35="lançamento",D35*(1-F35)*(1-G35*H35),C35="Captação e Lançamento",(D35*E35)+(D35*F35)+D35*(1-F35)*(1-G35*H35),D35=0,0)</f>
        <v>26535.116383307573</v>
      </c>
    </row>
    <row r="36" spans="1:13">
      <c r="A36" s="132"/>
      <c r="B36" s="62">
        <v>330008254053</v>
      </c>
      <c r="C36" s="62" t="s">
        <v>112</v>
      </c>
      <c r="D36" s="71">
        <v>3220.8</v>
      </c>
      <c r="E36" s="84">
        <v>0.4</v>
      </c>
      <c r="F36" s="84">
        <v>0.8</v>
      </c>
      <c r="G36" s="84">
        <v>1</v>
      </c>
      <c r="H36" s="84">
        <v>0.74409090909090914</v>
      </c>
      <c r="I36" s="71" cm="1">
        <f t="array" ref="I36">_xlfn.IFS(C36="Captação",(D36*E36)+(D36*F36),C36="lançamento",D36*(1-F36)*(1-G36*H36),C36="Captação e Lançamento",(D36*E36)+(D36*F36)+D36*(1-F36)*(1-G36*H36),D36=0,0)</f>
        <v>4029.8064000000004</v>
      </c>
    </row>
    <row r="37" spans="1:13">
      <c r="A37" s="132"/>
      <c r="B37" s="62">
        <v>330005729816</v>
      </c>
      <c r="C37" s="62" t="s">
        <v>106</v>
      </c>
      <c r="D37" s="71">
        <v>499.2</v>
      </c>
      <c r="E37" s="62" t="s">
        <v>104</v>
      </c>
      <c r="F37" s="64">
        <v>0.27</v>
      </c>
      <c r="G37" s="64">
        <v>1</v>
      </c>
      <c r="H37" s="84">
        <v>0.98760000000000003</v>
      </c>
      <c r="I37" s="71" cm="1">
        <f t="array" ref="I37">_xlfn.IFS(C37="Captação",(D37*E37)+(D37*F37),C37="lançamento",D37*(1-F37)*(1-G37*H37),C37="Captação e Lançamento",(D37*E37)+(D37*F37)+D37*(1-F37)*(1-G37*H37),D37=0,0)</f>
        <v>4.5187583999999879</v>
      </c>
    </row>
    <row r="38" spans="1:13">
      <c r="A38" s="132"/>
      <c r="B38" s="62">
        <v>330042280452</v>
      </c>
      <c r="C38" s="62" t="s">
        <v>106</v>
      </c>
      <c r="D38" s="71">
        <v>210680.4</v>
      </c>
      <c r="E38" s="62" t="s">
        <v>104</v>
      </c>
      <c r="F38" s="64">
        <v>0.27</v>
      </c>
      <c r="G38" s="64">
        <v>1</v>
      </c>
      <c r="H38" s="84">
        <v>0.95410171878500782</v>
      </c>
      <c r="I38" s="71" cm="1">
        <f t="array" ref="I38">_xlfn.IFS(C38="Captação",(D38*E38)+(D38*F38),C38="lançamento",D38*(1-F38)*(1-G38*H38),C38="Captação e Lançamento",(D38*E38)+(D38*F38)+D38*(1-F38)*(1-G38*H38),D38=0,0)</f>
        <v>7059.0038193515365</v>
      </c>
    </row>
    <row r="39" spans="1:13">
      <c r="A39" s="61" t="s">
        <v>15</v>
      </c>
      <c r="B39" s="63" t="s">
        <v>104</v>
      </c>
      <c r="C39" s="63" t="s">
        <v>104</v>
      </c>
      <c r="D39" s="71">
        <v>0</v>
      </c>
      <c r="E39" s="62" t="s">
        <v>104</v>
      </c>
      <c r="F39" s="62" t="s">
        <v>104</v>
      </c>
      <c r="G39" s="62" t="s">
        <v>104</v>
      </c>
      <c r="H39" s="62" t="s">
        <v>104</v>
      </c>
      <c r="I39" s="71" cm="1">
        <f t="array" ref="I39">_xlfn.IFS(C39="Captação",(D39*E39)+(D39*F39),C39="lançamento",D39*(1-F39)*(1-G39*H39),C39="Captação e Lançamento",(D39*E39)+(D39*F39)+D39*(1-F39)*(1-G39*H39),D39=0,0)</f>
        <v>0</v>
      </c>
      <c r="M39" s="87">
        <v>8819711.4000000004</v>
      </c>
    </row>
    <row r="40" spans="1:13">
      <c r="A40" s="132" t="s">
        <v>16</v>
      </c>
      <c r="B40" s="62">
        <v>330006583041</v>
      </c>
      <c r="C40" s="62" t="s">
        <v>105</v>
      </c>
      <c r="D40" s="71">
        <v>6076.8</v>
      </c>
      <c r="E40" s="64">
        <v>0.4</v>
      </c>
      <c r="F40" s="64">
        <v>1</v>
      </c>
      <c r="G40" s="62" t="s">
        <v>104</v>
      </c>
      <c r="H40" s="62" t="s">
        <v>104</v>
      </c>
      <c r="I40" s="71" cm="1">
        <f t="array" ref="I40">_xlfn.IFS(C40="Captação",(D40*E40)+(D40*F40),C40="lançamento",D40*(1-F40)*(1-G40*H40),C40="Captação e Lançamento",(D40*E40)+(D40*F40)+D40*(1-F40)*(1-G40*H40),D40=0,0)</f>
        <v>8507.52</v>
      </c>
      <c r="M40" s="32">
        <f>SUM(D35:D38)/M39</f>
        <v>3.1137685525628424E-2</v>
      </c>
    </row>
    <row r="41" spans="1:13">
      <c r="A41" s="132"/>
      <c r="B41" s="62">
        <v>330008954039</v>
      </c>
      <c r="C41" s="62" t="s">
        <v>105</v>
      </c>
      <c r="D41" s="71">
        <v>23068</v>
      </c>
      <c r="E41" s="64">
        <v>0.4</v>
      </c>
      <c r="F41" s="64">
        <v>1</v>
      </c>
      <c r="G41" s="62" t="s">
        <v>104</v>
      </c>
      <c r="H41" s="62" t="s">
        <v>104</v>
      </c>
      <c r="I41" s="71" cm="1">
        <f t="array" ref="I41">_xlfn.IFS(C41="Captação",(D41*E41)+(D41*F41),C41="lançamento",D41*(1-F41)*(1-G41*H41),C41="Captação e Lançamento",(D41*E41)+(D41*F41)+D41*(1-F41)*(1-G41*H41),D41=0,0)</f>
        <v>32295.200000000001</v>
      </c>
    </row>
    <row r="42" spans="1:13">
      <c r="A42" s="132"/>
      <c r="B42" s="62">
        <v>330028773480</v>
      </c>
      <c r="C42" s="62" t="s">
        <v>105</v>
      </c>
      <c r="D42" s="71">
        <v>8812.7999999999993</v>
      </c>
      <c r="E42" s="64">
        <v>0.4</v>
      </c>
      <c r="F42" s="64">
        <v>1</v>
      </c>
      <c r="G42" s="62" t="s">
        <v>104</v>
      </c>
      <c r="H42" s="62" t="s">
        <v>104</v>
      </c>
      <c r="I42" s="71" cm="1">
        <f t="array" ref="I42">_xlfn.IFS(C42="Captação",(D42*E42)+(D42*F42),C42="lançamento",D42*(1-F42)*(1-G42*H42),C42="Captação e Lançamento",(D42*E42)+(D42*F42)+D42*(1-F42)*(1-G42*H42),D42=0,0)</f>
        <v>12337.919999999998</v>
      </c>
    </row>
    <row r="43" spans="1:13">
      <c r="A43" s="132"/>
      <c r="B43" s="62">
        <v>330031439846</v>
      </c>
      <c r="C43" s="62" t="s">
        <v>105</v>
      </c>
      <c r="D43" s="71">
        <v>10920</v>
      </c>
      <c r="E43" s="64">
        <v>0.4</v>
      </c>
      <c r="F43" s="64">
        <v>1</v>
      </c>
      <c r="G43" s="62" t="s">
        <v>104</v>
      </c>
      <c r="H43" s="62" t="s">
        <v>104</v>
      </c>
      <c r="I43" s="71" cm="1">
        <f t="array" ref="I43">_xlfn.IFS(C43="Captação",(D43*E43)+(D43*F43),C43="lançamento",D43*(1-F43)*(1-G43*H43),C43="Captação e Lançamento",(D43*E43)+(D43*F43)+D43*(1-F43)*(1-G43*H43),D43=0,0)</f>
        <v>15288</v>
      </c>
    </row>
    <row r="46" spans="1:13">
      <c r="A46" s="72" t="s">
        <v>76</v>
      </c>
      <c r="B46" s="130" t="s">
        <v>96</v>
      </c>
      <c r="C46" s="130"/>
      <c r="D46" s="130"/>
      <c r="E46" s="130"/>
      <c r="F46" s="130"/>
      <c r="G46" s="130"/>
      <c r="H46" s="130"/>
      <c r="I46" s="130"/>
    </row>
    <row r="47" spans="1:13" ht="11.25" customHeight="1">
      <c r="A47" s="114" t="s">
        <v>51</v>
      </c>
      <c r="B47" s="118" t="s">
        <v>107</v>
      </c>
      <c r="C47" s="122" t="s">
        <v>111</v>
      </c>
      <c r="D47" s="115" t="s">
        <v>102</v>
      </c>
      <c r="E47" s="133" t="s">
        <v>37</v>
      </c>
      <c r="F47" s="134"/>
      <c r="G47" s="134"/>
      <c r="H47" s="135"/>
      <c r="I47" s="136" t="s">
        <v>103</v>
      </c>
    </row>
    <row r="48" spans="1:13">
      <c r="A48" s="114"/>
      <c r="B48" s="118"/>
      <c r="C48" s="123"/>
      <c r="D48" s="115"/>
      <c r="E48" s="67" t="s">
        <v>38</v>
      </c>
      <c r="F48" s="67" t="s">
        <v>39</v>
      </c>
      <c r="G48" s="67" t="s">
        <v>40</v>
      </c>
      <c r="H48" s="67" t="s">
        <v>41</v>
      </c>
      <c r="I48" s="137"/>
    </row>
    <row r="49" spans="1:9">
      <c r="A49" s="61" t="s">
        <v>11</v>
      </c>
      <c r="B49" s="63" t="s">
        <v>104</v>
      </c>
      <c r="C49" s="62" t="s">
        <v>104</v>
      </c>
      <c r="D49" s="70">
        <f>'Resumo Demandas '!P7*365*24*60*60</f>
        <v>0</v>
      </c>
      <c r="E49" s="66" t="s">
        <v>104</v>
      </c>
      <c r="F49" s="66" t="s">
        <v>104</v>
      </c>
      <c r="G49" s="66" t="s">
        <v>104</v>
      </c>
      <c r="H49" s="66" t="s">
        <v>104</v>
      </c>
      <c r="I49" s="71" cm="1">
        <f t="array" ref="I49">_xlfn.IFS(C49="Captação",(D49*E49)+(D49*F49),C49="lançamento",D49*(1-F49)*(1-G49*H49),C49="Captação e Lançamento",(D49*E49)+(D49*F49)+D49*(1-F49)*(1-G49*H49),D49=0,0)</f>
        <v>0</v>
      </c>
    </row>
    <row r="50" spans="1:9">
      <c r="A50" s="61" t="s">
        <v>12</v>
      </c>
      <c r="B50" s="63" t="s">
        <v>104</v>
      </c>
      <c r="C50" s="62" t="s">
        <v>104</v>
      </c>
      <c r="D50" s="70">
        <f>'Resumo Demandas '!P8*365*24*60*60</f>
        <v>0</v>
      </c>
      <c r="E50" s="66" t="s">
        <v>104</v>
      </c>
      <c r="F50" s="66" t="s">
        <v>104</v>
      </c>
      <c r="G50" s="66" t="s">
        <v>104</v>
      </c>
      <c r="H50" s="66" t="s">
        <v>104</v>
      </c>
      <c r="I50" s="71" cm="1">
        <f t="array" ref="I50">_xlfn.IFS(C50="Captação",(D50*E50)+(D50*F50),C50="lançamento",D50*(1-F50)*(1-G50*H50),C50="Captação e Lançamento",(D50*E50)+(D50*F50)+D50*(1-F50)*(1-G50*H50),D50=0,0)</f>
        <v>0</v>
      </c>
    </row>
    <row r="51" spans="1:9">
      <c r="A51" s="61" t="s">
        <v>13</v>
      </c>
      <c r="B51" s="63" t="s">
        <v>104</v>
      </c>
      <c r="C51" s="62" t="s">
        <v>104</v>
      </c>
      <c r="D51" s="70">
        <f>'Resumo Demandas '!P9*365*24*60*60</f>
        <v>0</v>
      </c>
      <c r="E51" s="62" t="s">
        <v>104</v>
      </c>
      <c r="F51" s="62" t="s">
        <v>104</v>
      </c>
      <c r="G51" s="62" t="s">
        <v>104</v>
      </c>
      <c r="H51" s="62" t="s">
        <v>104</v>
      </c>
      <c r="I51" s="71" cm="1">
        <f t="array" ref="I51">_xlfn.IFS(C51="Captação",(D51*E51)+(D51*F51),C51="lançamento",D51*(1-F51)*(1-G51*H51),C51="Captação e Lançamento",(D51*E51)+(D51*F51)+D51*(1-F51)*(1-G51*H51),D51=0,0)</f>
        <v>0</v>
      </c>
    </row>
    <row r="52" spans="1:9">
      <c r="A52" s="77" t="s">
        <v>14</v>
      </c>
      <c r="B52" s="63" t="s">
        <v>104</v>
      </c>
      <c r="C52" s="62" t="s">
        <v>112</v>
      </c>
      <c r="D52" s="70">
        <f>'Resumo Demandas '!P10*365*24*60*60</f>
        <v>23349254.399999999</v>
      </c>
      <c r="E52" s="64">
        <v>0.4</v>
      </c>
      <c r="F52" s="64">
        <v>0.27</v>
      </c>
      <c r="G52" s="64">
        <v>1</v>
      </c>
      <c r="H52" s="64">
        <v>0.6</v>
      </c>
      <c r="I52" s="71" cm="1">
        <f t="array" ref="I52">_xlfn.IFS(C52="Captação",(D52*E52)+(D52*F52),C52="lançamento",D52*(1-F52)*(1-G52*H52),C52="Captação e Lançamento",(D52*E52)+(D52*F52)+D52*(1-F52)*(1-G52*H52),D52=0,0)</f>
        <v>22461982.732799999</v>
      </c>
    </row>
    <row r="53" spans="1:9">
      <c r="A53" s="61" t="s">
        <v>15</v>
      </c>
      <c r="B53" s="63" t="s">
        <v>104</v>
      </c>
      <c r="C53" s="62" t="s">
        <v>104</v>
      </c>
      <c r="D53" s="70">
        <f>'Resumo Demandas '!P11*365*24*60*60</f>
        <v>0</v>
      </c>
      <c r="E53" s="62" t="s">
        <v>104</v>
      </c>
      <c r="F53" s="62" t="s">
        <v>104</v>
      </c>
      <c r="G53" s="62" t="s">
        <v>104</v>
      </c>
      <c r="H53" s="62" t="s">
        <v>104</v>
      </c>
      <c r="I53" s="71" cm="1">
        <f t="array" ref="I53">_xlfn.IFS(C53="Captação",(D53*E53)+(D53*F53),C53="lançamento",D53*(1-F53)*(1-G53*H53),C53="Captação e Lançamento",(D53*E53)+(D53*F53)+D53*(1-F53)*(1-G53*H53),D53=0,0)</f>
        <v>0</v>
      </c>
    </row>
    <row r="54" spans="1:9">
      <c r="A54" s="68" t="s">
        <v>16</v>
      </c>
      <c r="B54" s="63" t="s">
        <v>104</v>
      </c>
      <c r="C54" s="62" t="s">
        <v>112</v>
      </c>
      <c r="D54" s="70">
        <f>'Resumo Demandas '!P12*365*24*60*60</f>
        <v>18921.599999999999</v>
      </c>
      <c r="E54" s="64">
        <v>0.4</v>
      </c>
      <c r="F54" s="64">
        <v>0.27</v>
      </c>
      <c r="G54" s="64">
        <v>1</v>
      </c>
      <c r="H54" s="64">
        <v>0.6</v>
      </c>
      <c r="I54" s="71" cm="1">
        <f t="array" ref="I54">_xlfn.IFS(C54="Captação",(D54*E54)+(D54*F54),C54="lançamento",D54*(1-F54)*(1-G54*H54),C54="Captação e Lançamento",(D54*E54)+(D54*F54)+D54*(1-F54)*(1-G54*H54),D54=0,0)</f>
        <v>18202.5792</v>
      </c>
    </row>
  </sheetData>
  <mergeCells count="26">
    <mergeCell ref="A1:I1"/>
    <mergeCell ref="B3:I3"/>
    <mergeCell ref="A4:A5"/>
    <mergeCell ref="B4:B5"/>
    <mergeCell ref="C4:C5"/>
    <mergeCell ref="D4:D5"/>
    <mergeCell ref="E4:H4"/>
    <mergeCell ref="I4:I5"/>
    <mergeCell ref="A9:A15"/>
    <mergeCell ref="B21:I21"/>
    <mergeCell ref="A22:A23"/>
    <mergeCell ref="B22:B23"/>
    <mergeCell ref="C22:C23"/>
    <mergeCell ref="D22:D23"/>
    <mergeCell ref="E22:H22"/>
    <mergeCell ref="I22:I23"/>
    <mergeCell ref="A17:A18"/>
    <mergeCell ref="A27:A38"/>
    <mergeCell ref="A40:A43"/>
    <mergeCell ref="B46:I46"/>
    <mergeCell ref="A47:A48"/>
    <mergeCell ref="B47:B48"/>
    <mergeCell ref="C47:C48"/>
    <mergeCell ref="D47:D48"/>
    <mergeCell ref="E47:H47"/>
    <mergeCell ref="I47:I48"/>
  </mergeCells>
  <pageMargins left="0.511811024" right="0.511811024" top="0.78740157499999996" bottom="0.78740157499999996" header="0.31496062000000002" footer="0.31496062000000002"/>
  <drawing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102B5A-6B0A-40D4-B839-90934E507B60}">
  <dimension ref="A1:N36"/>
  <sheetViews>
    <sheetView topLeftCell="A4" zoomScale="120" zoomScaleNormal="120" workbookViewId="0">
      <selection activeCell="N23" sqref="N23"/>
    </sheetView>
  </sheetViews>
  <sheetFormatPr defaultColWidth="9.125" defaultRowHeight="11.25"/>
  <cols>
    <col min="1" max="1" width="18.25" style="32" customWidth="1"/>
    <col min="2" max="3" width="13.125" style="32" customWidth="1"/>
    <col min="4" max="4" width="11.75" style="32" customWidth="1"/>
    <col min="5" max="6" width="5" style="32" bestFit="1" customWidth="1"/>
    <col min="7" max="7" width="5.75" style="32" bestFit="1" customWidth="1"/>
    <col min="8" max="8" width="5" style="32" bestFit="1" customWidth="1"/>
    <col min="9" max="9" width="16.25" style="32" customWidth="1"/>
    <col min="10" max="16384" width="9.125" style="32"/>
  </cols>
  <sheetData>
    <row r="1" spans="1:9">
      <c r="A1" s="127" t="s">
        <v>110</v>
      </c>
      <c r="B1" s="127"/>
      <c r="C1" s="127"/>
      <c r="D1" s="127"/>
      <c r="E1" s="127"/>
      <c r="F1" s="127"/>
      <c r="G1" s="127"/>
      <c r="H1" s="127"/>
      <c r="I1" s="127"/>
    </row>
    <row r="2" spans="1:9">
      <c r="A2" s="83"/>
      <c r="B2" s="83"/>
      <c r="C2" s="83"/>
      <c r="D2" s="83"/>
      <c r="E2" s="83"/>
      <c r="F2" s="83"/>
      <c r="G2" s="83"/>
      <c r="H2" s="83"/>
      <c r="I2" s="83"/>
    </row>
    <row r="3" spans="1:9">
      <c r="A3" s="72" t="s">
        <v>69</v>
      </c>
      <c r="B3" s="130" t="s">
        <v>98</v>
      </c>
      <c r="C3" s="131"/>
      <c r="D3" s="131"/>
      <c r="E3" s="131"/>
      <c r="F3" s="131"/>
      <c r="G3" s="131"/>
      <c r="H3" s="131"/>
      <c r="I3" s="130"/>
    </row>
    <row r="4" spans="1:9">
      <c r="A4" s="114" t="s">
        <v>51</v>
      </c>
      <c r="B4" s="118" t="s">
        <v>107</v>
      </c>
      <c r="C4" s="65"/>
      <c r="D4" s="115" t="s">
        <v>102</v>
      </c>
      <c r="E4" s="128" t="s">
        <v>37</v>
      </c>
      <c r="F4" s="128"/>
      <c r="G4" s="128"/>
      <c r="H4" s="128"/>
      <c r="I4" s="129" t="s">
        <v>103</v>
      </c>
    </row>
    <row r="5" spans="1:9">
      <c r="A5" s="114"/>
      <c r="B5" s="118"/>
      <c r="C5" s="65"/>
      <c r="D5" s="115"/>
      <c r="E5" s="67" t="s">
        <v>38</v>
      </c>
      <c r="F5" s="67" t="s">
        <v>39</v>
      </c>
      <c r="G5" s="67" t="s">
        <v>40</v>
      </c>
      <c r="H5" s="67" t="s">
        <v>41</v>
      </c>
      <c r="I5" s="129"/>
    </row>
    <row r="6" spans="1:9">
      <c r="A6" s="61" t="s">
        <v>11</v>
      </c>
      <c r="B6" s="63" t="s">
        <v>104</v>
      </c>
      <c r="C6" s="86"/>
      <c r="D6" s="70">
        <v>0</v>
      </c>
      <c r="E6" s="66" t="s">
        <v>104</v>
      </c>
      <c r="F6" s="66" t="s">
        <v>104</v>
      </c>
      <c r="G6" s="66" t="s">
        <v>104</v>
      </c>
      <c r="H6" s="66" t="s">
        <v>104</v>
      </c>
      <c r="I6" s="71" cm="1">
        <f t="array" ref="I6">_xlfn.IFS(C6="Captação",(D6*E6)+(D6*F6),C6="lançamento",D6*(1-F6)*(1-G6*H6),C6="Captação e Lançamento",(D6*E6)+(D6*F6)+D6*(1-F6)*(1-G6*H6),D6=0,0)</f>
        <v>0</v>
      </c>
    </row>
    <row r="7" spans="1:9">
      <c r="A7" s="61" t="s">
        <v>12</v>
      </c>
      <c r="B7" s="63" t="s">
        <v>104</v>
      </c>
      <c r="C7" s="86"/>
      <c r="D7" s="70">
        <v>0</v>
      </c>
      <c r="E7" s="66" t="s">
        <v>104</v>
      </c>
      <c r="F7" s="66" t="s">
        <v>104</v>
      </c>
      <c r="G7" s="66" t="s">
        <v>104</v>
      </c>
      <c r="H7" s="66" t="s">
        <v>104</v>
      </c>
      <c r="I7" s="71" cm="1">
        <f t="array" ref="I7">_xlfn.IFS(C7="Captação",(D7*E7)+(D7*F7),C7="lançamento",D7*(1-F7)*(1-G7*H7),C7="Captação e Lançamento",(D7*E7)+(D7*F7)+D7*(1-F7)*(1-G7*H7),D7=0,0)</f>
        <v>0</v>
      </c>
    </row>
    <row r="8" spans="1:9">
      <c r="A8" s="61" t="s">
        <v>13</v>
      </c>
      <c r="B8" s="63" t="s">
        <v>104</v>
      </c>
      <c r="C8" s="86"/>
      <c r="D8" s="70">
        <v>0</v>
      </c>
      <c r="E8" s="66" t="s">
        <v>104</v>
      </c>
      <c r="F8" s="66" t="s">
        <v>104</v>
      </c>
      <c r="G8" s="66" t="s">
        <v>104</v>
      </c>
      <c r="H8" s="66" t="s">
        <v>104</v>
      </c>
      <c r="I8" s="71" cm="1">
        <f t="array" ref="I8">_xlfn.IFS(C8="Captação",(D8*E8)+(D8*F8),C8="lançamento",D8*(1-F8)*(1-G8*H8),C8="Captação e Lançamento",(D8*E8)+(D8*F8)+D8*(1-F8)*(1-G8*H8),D8=0,0)</f>
        <v>0</v>
      </c>
    </row>
    <row r="9" spans="1:9">
      <c r="A9" s="69" t="s">
        <v>14</v>
      </c>
      <c r="B9" s="62" t="s">
        <v>104</v>
      </c>
      <c r="C9" s="62"/>
      <c r="D9" s="71">
        <v>0</v>
      </c>
      <c r="E9" s="66" t="s">
        <v>104</v>
      </c>
      <c r="F9" s="66" t="s">
        <v>104</v>
      </c>
      <c r="G9" s="66" t="s">
        <v>104</v>
      </c>
      <c r="H9" s="66" t="s">
        <v>104</v>
      </c>
      <c r="I9" s="71" cm="1">
        <f t="array" ref="I9">_xlfn.IFS(C9="Captação",(D9*E9)+(D9*F9),C9="lançamento",D9*(1-F9)*(1-G9*H9),C9="Captação e Lançamento",(D9*E9)+(D9*F9)+D9*(1-F9)*(1-G9*H9),D9=0,0)</f>
        <v>0</v>
      </c>
    </row>
    <row r="10" spans="1:9" ht="15" customHeight="1">
      <c r="A10" s="61" t="s">
        <v>15</v>
      </c>
      <c r="B10" s="63" t="s">
        <v>104</v>
      </c>
      <c r="C10" s="63"/>
      <c r="D10" s="71">
        <v>0</v>
      </c>
      <c r="E10" s="66" t="s">
        <v>104</v>
      </c>
      <c r="F10" s="66" t="s">
        <v>104</v>
      </c>
      <c r="G10" s="66" t="s">
        <v>104</v>
      </c>
      <c r="H10" s="66" t="s">
        <v>104</v>
      </c>
      <c r="I10" s="71" cm="1">
        <f t="array" ref="I10">_xlfn.IFS(C10="Captação",(D10*E10)+(D10*F10),C10="lançamento",D10*(1-F10)*(1-G10*H10),C10="Captação e Lançamento",(D10*E10)+(D10*F10)+D10*(1-F10)*(1-G10*H10),D10=0,0)</f>
        <v>0</v>
      </c>
    </row>
    <row r="11" spans="1:9">
      <c r="A11" s="61" t="s">
        <v>16</v>
      </c>
      <c r="B11" s="63" t="s">
        <v>104</v>
      </c>
      <c r="C11" s="63"/>
      <c r="D11" s="71">
        <v>0</v>
      </c>
      <c r="E11" s="62" t="s">
        <v>104</v>
      </c>
      <c r="F11" s="62" t="s">
        <v>104</v>
      </c>
      <c r="G11" s="62" t="s">
        <v>104</v>
      </c>
      <c r="H11" s="62" t="s">
        <v>104</v>
      </c>
      <c r="I11" s="71" cm="1">
        <f t="array" ref="I11">_xlfn.IFS(C11="Captação",(D11*E11)+(D11*F11),C11="lançamento",D11*(1-F11)*(1-G11*H11),C11="Captação e Lançamento",(D11*E11)+(D11*F11)+D11*(1-F11)*(1-G11*H11),D11=0,0)</f>
        <v>0</v>
      </c>
    </row>
    <row r="12" spans="1:9">
      <c r="A12" s="59"/>
      <c r="B12" s="80"/>
      <c r="C12" s="80"/>
      <c r="D12" s="81"/>
      <c r="E12" s="82"/>
      <c r="F12" s="82"/>
      <c r="G12" s="82"/>
      <c r="H12" s="82"/>
      <c r="I12" s="81"/>
    </row>
    <row r="13" spans="1:9">
      <c r="A13" s="72" t="s">
        <v>71</v>
      </c>
      <c r="B13" s="130" t="s">
        <v>97</v>
      </c>
      <c r="C13" s="130"/>
      <c r="D13" s="130"/>
      <c r="E13" s="130"/>
      <c r="F13" s="130"/>
      <c r="G13" s="130"/>
      <c r="H13" s="130"/>
      <c r="I13" s="130"/>
    </row>
    <row r="14" spans="1:9">
      <c r="A14" s="114" t="s">
        <v>51</v>
      </c>
      <c r="B14" s="118" t="s">
        <v>107</v>
      </c>
      <c r="C14" s="122" t="s">
        <v>111</v>
      </c>
      <c r="D14" s="115" t="s">
        <v>102</v>
      </c>
      <c r="E14" s="128" t="s">
        <v>37</v>
      </c>
      <c r="F14" s="128"/>
      <c r="G14" s="128"/>
      <c r="H14" s="128"/>
      <c r="I14" s="129" t="s">
        <v>103</v>
      </c>
    </row>
    <row r="15" spans="1:9">
      <c r="A15" s="114"/>
      <c r="B15" s="118"/>
      <c r="C15" s="123"/>
      <c r="D15" s="115"/>
      <c r="E15" s="67" t="s">
        <v>38</v>
      </c>
      <c r="F15" s="67" t="s">
        <v>39</v>
      </c>
      <c r="G15" s="67" t="s">
        <v>40</v>
      </c>
      <c r="H15" s="67" t="s">
        <v>41</v>
      </c>
      <c r="I15" s="129"/>
    </row>
    <row r="16" spans="1:9">
      <c r="A16" s="61" t="s">
        <v>11</v>
      </c>
      <c r="B16" s="63" t="s">
        <v>104</v>
      </c>
      <c r="C16" s="86" t="s">
        <v>104</v>
      </c>
      <c r="D16" s="70">
        <v>0</v>
      </c>
      <c r="E16" s="66" t="s">
        <v>104</v>
      </c>
      <c r="F16" s="66" t="s">
        <v>104</v>
      </c>
      <c r="G16" s="66" t="s">
        <v>104</v>
      </c>
      <c r="H16" s="66" t="s">
        <v>104</v>
      </c>
      <c r="I16" s="71" cm="1">
        <f t="array" ref="I16">_xlfn.IFS(C16="Captação",(D16*E16)+(D16*F16),C16="lançamento",D16*(1-F16)*(1-G16*H16),C16="Captação e Lançamento",(D16*E16)+(D16*F16)+D16*(1-F16)*(1-G16*H16),D16=0,0)</f>
        <v>0</v>
      </c>
    </row>
    <row r="17" spans="1:14">
      <c r="A17" s="61" t="s">
        <v>12</v>
      </c>
      <c r="B17" s="63" t="s">
        <v>104</v>
      </c>
      <c r="C17" s="86" t="s">
        <v>104</v>
      </c>
      <c r="D17" s="70">
        <v>0</v>
      </c>
      <c r="E17" s="66" t="s">
        <v>104</v>
      </c>
      <c r="F17" s="66" t="s">
        <v>104</v>
      </c>
      <c r="G17" s="66" t="s">
        <v>104</v>
      </c>
      <c r="H17" s="66" t="s">
        <v>104</v>
      </c>
      <c r="I17" s="71" cm="1">
        <f t="array" ref="I17">_xlfn.IFS(C17="Captação",(D17*E17)+(D17*F17),C17="lançamento",D17*(1-F17)*(1-G17*H17),C17="Captação e Lançamento",(D17*E17)+(D17*F17)+D17*(1-F17)*(1-G17*H17),D17=0,0)</f>
        <v>0</v>
      </c>
    </row>
    <row r="18" spans="1:14">
      <c r="A18" s="61" t="s">
        <v>13</v>
      </c>
      <c r="B18" s="63" t="s">
        <v>104</v>
      </c>
      <c r="C18" s="86" t="s">
        <v>104</v>
      </c>
      <c r="D18" s="70">
        <v>0</v>
      </c>
      <c r="E18" s="66" t="s">
        <v>104</v>
      </c>
      <c r="F18" s="66" t="s">
        <v>104</v>
      </c>
      <c r="G18" s="66" t="s">
        <v>104</v>
      </c>
      <c r="H18" s="66" t="s">
        <v>104</v>
      </c>
      <c r="I18" s="71" cm="1">
        <f t="array" ref="I18">_xlfn.IFS(C18="Captação",(D18*E18)+(D18*F18),C18="lançamento",D18*(1-F18)*(1-G18*H18),C18="Captação e Lançamento",(D18*E18)+(D18*F18)+D18*(1-F18)*(1-G18*H18),D18=0,0)</f>
        <v>0</v>
      </c>
    </row>
    <row r="19" spans="1:14">
      <c r="A19" s="119" t="s">
        <v>14</v>
      </c>
      <c r="B19" s="62">
        <v>330001180674</v>
      </c>
      <c r="C19" s="62" t="s">
        <v>105</v>
      </c>
      <c r="D19" s="70">
        <v>4608</v>
      </c>
      <c r="E19" s="85">
        <v>0.4</v>
      </c>
      <c r="F19" s="64">
        <v>1</v>
      </c>
      <c r="G19" s="66" t="s">
        <v>104</v>
      </c>
      <c r="H19" s="66" t="s">
        <v>104</v>
      </c>
      <c r="I19" s="71" cm="1">
        <f t="array" ref="I19">_xlfn.IFS(C19="Captação",(D19*E19)+(D19*F19),C19="lançamento",D19*(1-F19)*(1-G19*H19),C19="Captação e Lançamento",(D19*E19)+(D19*F19)+D19*(1-F19)*(1-G19*H19),D19=0,0)</f>
        <v>6451.2</v>
      </c>
    </row>
    <row r="20" spans="1:14">
      <c r="A20" s="121"/>
      <c r="B20" s="62">
        <v>330038357977</v>
      </c>
      <c r="C20" s="62" t="s">
        <v>105</v>
      </c>
      <c r="D20" s="70">
        <v>1728</v>
      </c>
      <c r="E20" s="85">
        <v>0.4</v>
      </c>
      <c r="F20" s="64">
        <v>1</v>
      </c>
      <c r="G20" s="66" t="s">
        <v>104</v>
      </c>
      <c r="H20" s="66" t="s">
        <v>104</v>
      </c>
      <c r="I20" s="71" cm="1">
        <f t="array" ref="I20">_xlfn.IFS(C20="Captação",(D20*E20)+(D20*F20),C20="lançamento",D20*(1-F20)*(1-G20*H20),C20="Captação e Lançamento",(D20*E20)+(D20*F20)+D20*(1-F20)*(1-G20*H20),D20=0,0)</f>
        <v>2419.1999999999998</v>
      </c>
    </row>
    <row r="21" spans="1:14">
      <c r="A21" s="120" t="s">
        <v>15</v>
      </c>
      <c r="B21" s="62">
        <v>330037884620</v>
      </c>
      <c r="C21" s="62" t="s">
        <v>105</v>
      </c>
      <c r="D21" s="71">
        <v>1500</v>
      </c>
      <c r="E21" s="85">
        <v>0.4</v>
      </c>
      <c r="F21" s="64">
        <v>1</v>
      </c>
      <c r="G21" s="66" t="s">
        <v>104</v>
      </c>
      <c r="H21" s="66" t="s">
        <v>104</v>
      </c>
      <c r="I21" s="71" cm="1">
        <f t="array" ref="I21">_xlfn.IFS(C21="Captação",(D21*E21)+(D21*F21),C21="lançamento",D21*(1-F21)*(1-G21*H21),C21="Captação e Lançamento",(D21*E21)+(D21*F21)+D21*(1-F21)*(1-G21*H21),D21=0,0)</f>
        <v>2100</v>
      </c>
    </row>
    <row r="22" spans="1:14">
      <c r="A22" s="120"/>
      <c r="B22" s="62">
        <v>330038137349</v>
      </c>
      <c r="C22" s="62" t="s">
        <v>105</v>
      </c>
      <c r="D22" s="71">
        <v>1800</v>
      </c>
      <c r="E22" s="85">
        <v>0.4</v>
      </c>
      <c r="F22" s="64">
        <v>1</v>
      </c>
      <c r="G22" s="66" t="s">
        <v>104</v>
      </c>
      <c r="H22" s="66" t="s">
        <v>104</v>
      </c>
      <c r="I22" s="71" cm="1">
        <f t="array" ref="I22">_xlfn.IFS(C22="Captação",(D22*E22)+(D22*F22),C22="lançamento",D22*(1-F22)*(1-G22*H22),C22="Captação e Lançamento",(D22*E22)+(D22*F22)+D22*(1-F22)*(1-G22*H22),D22=0,0)</f>
        <v>2520</v>
      </c>
    </row>
    <row r="23" spans="1:14">
      <c r="A23" s="120"/>
      <c r="B23" s="62">
        <v>330038418003</v>
      </c>
      <c r="C23" s="62" t="s">
        <v>105</v>
      </c>
      <c r="D23" s="71">
        <v>1110</v>
      </c>
      <c r="E23" s="85">
        <v>0.4</v>
      </c>
      <c r="F23" s="64">
        <v>1</v>
      </c>
      <c r="G23" s="66" t="s">
        <v>104</v>
      </c>
      <c r="H23" s="66" t="s">
        <v>104</v>
      </c>
      <c r="I23" s="71" cm="1">
        <f t="array" ref="I23">_xlfn.IFS(C23="Captação",(D23*E23)+(D23*F23),C23="lançamento",D23*(1-F23)*(1-G23*H23),C23="Captação e Lançamento",(D23*E23)+(D23*F23)+D23*(1-F23)*(1-G23*H23),D23=0,0)</f>
        <v>1554</v>
      </c>
    </row>
    <row r="24" spans="1:14">
      <c r="A24" s="121"/>
      <c r="B24" s="62">
        <v>330040337082</v>
      </c>
      <c r="C24" s="62" t="s">
        <v>105</v>
      </c>
      <c r="D24" s="71">
        <v>2148</v>
      </c>
      <c r="E24" s="85">
        <v>0.4</v>
      </c>
      <c r="F24" s="64">
        <v>1</v>
      </c>
      <c r="G24" s="66" t="s">
        <v>104</v>
      </c>
      <c r="H24" s="66" t="s">
        <v>104</v>
      </c>
      <c r="I24" s="71" cm="1">
        <f t="array" ref="I24">_xlfn.IFS(C24="Captação",(D24*E24)+(D24*F24),C24="lançamento",D24*(1-F24)*(1-G24*H24),C24="Captação e Lançamento",(D24*E24)+(D24*F24)+D24*(1-F24)*(1-G24*H24),D24=0,0)</f>
        <v>3007.2</v>
      </c>
    </row>
    <row r="25" spans="1:14" ht="15" customHeight="1">
      <c r="A25" s="119" t="s">
        <v>16</v>
      </c>
      <c r="B25" s="62">
        <v>330026443865</v>
      </c>
      <c r="C25" s="62" t="s">
        <v>105</v>
      </c>
      <c r="D25" s="71">
        <v>4800</v>
      </c>
      <c r="E25" s="85">
        <v>0.4</v>
      </c>
      <c r="F25" s="64">
        <v>1</v>
      </c>
      <c r="G25" s="66" t="s">
        <v>104</v>
      </c>
      <c r="H25" s="66" t="s">
        <v>104</v>
      </c>
      <c r="I25" s="71" cm="1">
        <f t="array" ref="I25">_xlfn.IFS(C25="Captação",(D25*E25)+(D25*F25),C25="lançamento",D25*(1-F25)*(1-G25*H25),C25="Captação e Lançamento",(D25*E25)+(D25*F25)+D25*(1-F25)*(1-G25*H25),D25=0,0)</f>
        <v>6720</v>
      </c>
    </row>
    <row r="26" spans="1:14">
      <c r="A26" s="121"/>
      <c r="B26" s="62">
        <v>330039255086</v>
      </c>
      <c r="C26" s="62" t="s">
        <v>105</v>
      </c>
      <c r="D26" s="71">
        <v>3780</v>
      </c>
      <c r="E26" s="85">
        <v>0.4</v>
      </c>
      <c r="F26" s="64">
        <v>1</v>
      </c>
      <c r="G26" s="66" t="s">
        <v>104</v>
      </c>
      <c r="H26" s="66" t="s">
        <v>104</v>
      </c>
      <c r="I26" s="71" cm="1">
        <f t="array" ref="I26">_xlfn.IFS(C26="Captação",(D26*E26)+(D26*F26),C26="lançamento",D26*(1-F26)*(1-G26*H26),C26="Captação e Lançamento",(D26*E26)+(D26*F26)+D26*(1-F26)*(1-G26*H26),D26=0,0)</f>
        <v>5292</v>
      </c>
    </row>
    <row r="27" spans="1:14">
      <c r="A27" s="72"/>
      <c r="B27" s="72"/>
      <c r="C27" s="72"/>
      <c r="D27" s="72"/>
      <c r="E27" s="72"/>
      <c r="F27" s="72"/>
      <c r="G27" s="72"/>
      <c r="H27" s="72"/>
      <c r="I27" s="72"/>
      <c r="N27" s="87"/>
    </row>
    <row r="28" spans="1:14">
      <c r="A28" s="72" t="s">
        <v>76</v>
      </c>
      <c r="B28" s="130" t="s">
        <v>96</v>
      </c>
      <c r="C28" s="130"/>
      <c r="D28" s="130"/>
      <c r="E28" s="130"/>
      <c r="F28" s="130"/>
      <c r="G28" s="130"/>
      <c r="H28" s="130"/>
      <c r="I28" s="130"/>
    </row>
    <row r="29" spans="1:14">
      <c r="A29" s="114" t="s">
        <v>51</v>
      </c>
      <c r="B29" s="118" t="s">
        <v>107</v>
      </c>
      <c r="C29" s="122" t="s">
        <v>111</v>
      </c>
      <c r="D29" s="115" t="s">
        <v>102</v>
      </c>
      <c r="E29" s="128" t="s">
        <v>37</v>
      </c>
      <c r="F29" s="128"/>
      <c r="G29" s="128"/>
      <c r="H29" s="128"/>
      <c r="I29" s="129" t="s">
        <v>103</v>
      </c>
    </row>
    <row r="30" spans="1:14">
      <c r="A30" s="114"/>
      <c r="B30" s="118"/>
      <c r="C30" s="123"/>
      <c r="D30" s="115"/>
      <c r="E30" s="67" t="s">
        <v>38</v>
      </c>
      <c r="F30" s="67" t="s">
        <v>39</v>
      </c>
      <c r="G30" s="67" t="s">
        <v>40</v>
      </c>
      <c r="H30" s="67" t="s">
        <v>41</v>
      </c>
      <c r="I30" s="129"/>
    </row>
    <row r="31" spans="1:14">
      <c r="A31" s="61" t="s">
        <v>11</v>
      </c>
      <c r="B31" s="63" t="s">
        <v>104</v>
      </c>
      <c r="C31" s="62" t="s">
        <v>105</v>
      </c>
      <c r="D31" s="70">
        <f>'Resumo Demandas '!T7*365*24*60*60</f>
        <v>31536</v>
      </c>
      <c r="E31" s="85">
        <v>0.4</v>
      </c>
      <c r="F31" s="64">
        <v>1</v>
      </c>
      <c r="G31" s="66" t="s">
        <v>104</v>
      </c>
      <c r="H31" s="66" t="s">
        <v>104</v>
      </c>
      <c r="I31" s="71">
        <f>IF(D31&gt;0,(D31*E31)+(D31*F31),0)</f>
        <v>44150.400000000001</v>
      </c>
    </row>
    <row r="32" spans="1:14">
      <c r="A32" s="61" t="s">
        <v>12</v>
      </c>
      <c r="B32" s="63" t="s">
        <v>104</v>
      </c>
      <c r="C32" s="62" t="s">
        <v>105</v>
      </c>
      <c r="D32" s="70">
        <f>'Resumo Demandas '!T8*365*24*60*60</f>
        <v>31536</v>
      </c>
      <c r="E32" s="85">
        <v>0.4</v>
      </c>
      <c r="F32" s="64">
        <v>1</v>
      </c>
      <c r="G32" s="66" t="s">
        <v>104</v>
      </c>
      <c r="H32" s="66" t="s">
        <v>104</v>
      </c>
      <c r="I32" s="71">
        <f t="shared" ref="I32:I33" si="0">IF(D32&gt;0,(D32*E32)+(D32*F32),0)</f>
        <v>44150.400000000001</v>
      </c>
    </row>
    <row r="33" spans="1:9">
      <c r="A33" s="61" t="s">
        <v>13</v>
      </c>
      <c r="B33" s="63" t="s">
        <v>104</v>
      </c>
      <c r="C33" s="62" t="s">
        <v>105</v>
      </c>
      <c r="D33" s="70">
        <f>'Resumo Demandas '!T9*365*24*60*60</f>
        <v>252288</v>
      </c>
      <c r="E33" s="85">
        <v>0.4</v>
      </c>
      <c r="F33" s="64">
        <v>1</v>
      </c>
      <c r="G33" s="66" t="s">
        <v>104</v>
      </c>
      <c r="H33" s="66" t="s">
        <v>104</v>
      </c>
      <c r="I33" s="71">
        <f t="shared" si="0"/>
        <v>353203.20000000001</v>
      </c>
    </row>
    <row r="34" spans="1:9">
      <c r="A34" s="61" t="s">
        <v>14</v>
      </c>
      <c r="B34" s="63" t="s">
        <v>104</v>
      </c>
      <c r="C34" s="62" t="s">
        <v>105</v>
      </c>
      <c r="D34" s="70">
        <f>'Resumo Demandas '!T10*365*24*60*60</f>
        <v>441504.00000000006</v>
      </c>
      <c r="E34" s="85">
        <v>0.4</v>
      </c>
      <c r="F34" s="64">
        <v>1</v>
      </c>
      <c r="G34" s="66" t="s">
        <v>104</v>
      </c>
      <c r="H34" s="66" t="s">
        <v>104</v>
      </c>
      <c r="I34" s="71">
        <f>IF(D34&gt;0,(D34*E34)+(D34*F34),0)</f>
        <v>618105.60000000009</v>
      </c>
    </row>
    <row r="35" spans="1:9">
      <c r="A35" s="69" t="s">
        <v>15</v>
      </c>
      <c r="B35" s="62" t="s">
        <v>104</v>
      </c>
      <c r="C35" s="62" t="s">
        <v>105</v>
      </c>
      <c r="D35" s="70">
        <f>'Resumo Demandas '!T11*365*24*60*60</f>
        <v>126144</v>
      </c>
      <c r="E35" s="85">
        <v>0.4</v>
      </c>
      <c r="F35" s="64">
        <v>1</v>
      </c>
      <c r="G35" s="66" t="s">
        <v>104</v>
      </c>
      <c r="H35" s="66" t="s">
        <v>104</v>
      </c>
      <c r="I35" s="71">
        <f t="shared" ref="I35" si="1">IF(D35&gt;0,(D35*E35)+(D35*F35),0)</f>
        <v>176601.60000000001</v>
      </c>
    </row>
    <row r="36" spans="1:9">
      <c r="A36" s="61" t="s">
        <v>16</v>
      </c>
      <c r="B36" s="63" t="s">
        <v>104</v>
      </c>
      <c r="C36" s="62" t="s">
        <v>105</v>
      </c>
      <c r="D36" s="70">
        <f>'Resumo Demandas '!T12*365*24*60*60</f>
        <v>126144</v>
      </c>
      <c r="E36" s="85">
        <v>0.4</v>
      </c>
      <c r="F36" s="64">
        <v>1</v>
      </c>
      <c r="G36" s="66" t="s">
        <v>104</v>
      </c>
      <c r="H36" s="66" t="s">
        <v>104</v>
      </c>
      <c r="I36" s="71">
        <f>IF(D36&gt;0,(D36*E36)+(D36*F36),0)</f>
        <v>176601.60000000001</v>
      </c>
    </row>
  </sheetData>
  <mergeCells count="24">
    <mergeCell ref="A19:A20"/>
    <mergeCell ref="C14:C15"/>
    <mergeCell ref="C29:C30"/>
    <mergeCell ref="A25:A26"/>
    <mergeCell ref="A21:A24"/>
    <mergeCell ref="B28:I28"/>
    <mergeCell ref="A29:A30"/>
    <mergeCell ref="B29:B30"/>
    <mergeCell ref="D29:D30"/>
    <mergeCell ref="E29:H29"/>
    <mergeCell ref="I29:I30"/>
    <mergeCell ref="B13:I13"/>
    <mergeCell ref="A14:A15"/>
    <mergeCell ref="B14:B15"/>
    <mergeCell ref="D14:D15"/>
    <mergeCell ref="E14:H14"/>
    <mergeCell ref="I14:I15"/>
    <mergeCell ref="A1:I1"/>
    <mergeCell ref="B3:I3"/>
    <mergeCell ref="A4:A5"/>
    <mergeCell ref="B4:B5"/>
    <mergeCell ref="D4:D5"/>
    <mergeCell ref="E4:H4"/>
    <mergeCell ref="I4:I5"/>
  </mergeCells>
  <pageMargins left="0.511811024" right="0.511811024" top="0.78740157499999996" bottom="0.78740157499999996" header="0.31496062000000002" footer="0.31496062000000002"/>
  <drawing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71F49-A99E-4C92-861A-0ED22550DEF7}">
  <dimension ref="A1:N46"/>
  <sheetViews>
    <sheetView zoomScale="120" zoomScaleNormal="120" workbookViewId="0">
      <selection activeCell="O33" sqref="O33"/>
    </sheetView>
  </sheetViews>
  <sheetFormatPr defaultColWidth="9.125" defaultRowHeight="11.25"/>
  <cols>
    <col min="1" max="1" width="18.25" style="32" customWidth="1"/>
    <col min="2" max="2" width="13.125" style="32" customWidth="1"/>
    <col min="3" max="3" width="19.125" style="32" customWidth="1"/>
    <col min="4" max="4" width="11.75" style="32" customWidth="1"/>
    <col min="5" max="6" width="5" style="32" bestFit="1" customWidth="1"/>
    <col min="7" max="7" width="5.75" style="32" bestFit="1" customWidth="1"/>
    <col min="8" max="8" width="7.875" style="32" bestFit="1" customWidth="1"/>
    <col min="9" max="9" width="16.25" style="32" customWidth="1"/>
    <col min="10" max="10" width="13.625" style="32" bestFit="1" customWidth="1"/>
    <col min="11" max="11" width="9.125" style="32"/>
    <col min="12" max="12" width="10" style="32" bestFit="1" customWidth="1"/>
    <col min="13" max="13" width="11.25" style="32" bestFit="1" customWidth="1"/>
    <col min="14" max="15" width="12.125" style="32" bestFit="1" customWidth="1"/>
    <col min="16" max="16384" width="9.125" style="32"/>
  </cols>
  <sheetData>
    <row r="1" spans="1:14">
      <c r="A1" s="127" t="s">
        <v>113</v>
      </c>
      <c r="B1" s="127"/>
      <c r="C1" s="127"/>
      <c r="D1" s="127"/>
      <c r="E1" s="127"/>
      <c r="F1" s="127"/>
      <c r="G1" s="127"/>
      <c r="H1" s="127"/>
      <c r="I1" s="127"/>
    </row>
    <row r="2" spans="1:14">
      <c r="A2" s="83"/>
      <c r="B2" s="83"/>
      <c r="C2" s="83"/>
      <c r="D2" s="83"/>
      <c r="E2" s="83"/>
      <c r="F2" s="83"/>
      <c r="G2" s="83"/>
      <c r="H2" s="83"/>
      <c r="I2" s="83"/>
    </row>
    <row r="3" spans="1:14">
      <c r="A3" s="72" t="s">
        <v>69</v>
      </c>
      <c r="B3" s="130" t="s">
        <v>98</v>
      </c>
      <c r="C3" s="131"/>
      <c r="D3" s="131"/>
      <c r="E3" s="131"/>
      <c r="F3" s="131"/>
      <c r="G3" s="131"/>
      <c r="H3" s="131"/>
      <c r="I3" s="130"/>
    </row>
    <row r="4" spans="1:14">
      <c r="A4" s="114" t="s">
        <v>51</v>
      </c>
      <c r="B4" s="118" t="s">
        <v>107</v>
      </c>
      <c r="C4" s="122" t="s">
        <v>111</v>
      </c>
      <c r="D4" s="115" t="s">
        <v>102</v>
      </c>
      <c r="E4" s="128" t="s">
        <v>37</v>
      </c>
      <c r="F4" s="128"/>
      <c r="G4" s="128"/>
      <c r="H4" s="128"/>
      <c r="I4" s="129" t="s">
        <v>103</v>
      </c>
    </row>
    <row r="5" spans="1:14">
      <c r="A5" s="114"/>
      <c r="B5" s="118"/>
      <c r="C5" s="123"/>
      <c r="D5" s="115"/>
      <c r="E5" s="67" t="s">
        <v>38</v>
      </c>
      <c r="F5" s="67" t="s">
        <v>39</v>
      </c>
      <c r="G5" s="67" t="s">
        <v>40</v>
      </c>
      <c r="H5" s="67" t="s">
        <v>41</v>
      </c>
      <c r="I5" s="129"/>
    </row>
    <row r="6" spans="1:14">
      <c r="A6" s="61" t="s">
        <v>11</v>
      </c>
      <c r="B6" s="63" t="s">
        <v>104</v>
      </c>
      <c r="C6" s="86" t="s">
        <v>104</v>
      </c>
      <c r="D6" s="70">
        <v>0</v>
      </c>
      <c r="E6" s="66" t="s">
        <v>104</v>
      </c>
      <c r="F6" s="66" t="s">
        <v>104</v>
      </c>
      <c r="G6" s="66" t="s">
        <v>104</v>
      </c>
      <c r="H6" s="66" t="s">
        <v>104</v>
      </c>
      <c r="I6" s="71" cm="1">
        <f t="array" ref="I6">_xlfn.IFS(C6="Captação",(D6*E6)+(D6*F6),C6="lançamento",D6*(1-F6)*(1-G6*H6),C6="Captação e Lançamento",(D6*E6)+(D6*F6)+D6*(1-F6)*(1-G6*H6),D6=0,0)</f>
        <v>0</v>
      </c>
    </row>
    <row r="7" spans="1:14">
      <c r="A7" s="61" t="s">
        <v>12</v>
      </c>
      <c r="B7" s="63" t="s">
        <v>104</v>
      </c>
      <c r="C7" s="86" t="s">
        <v>104</v>
      </c>
      <c r="D7" s="70">
        <v>0</v>
      </c>
      <c r="E7" s="66" t="s">
        <v>104</v>
      </c>
      <c r="F7" s="66" t="s">
        <v>104</v>
      </c>
      <c r="G7" s="66" t="s">
        <v>104</v>
      </c>
      <c r="H7" s="66" t="s">
        <v>104</v>
      </c>
      <c r="I7" s="71" cm="1">
        <f t="array" ref="I7">_xlfn.IFS(C7="Captação",(D7*E7)+(D7*F7),C7="lançamento",D7*(1-F7)*(1-G7*H7),C7="Captação e Lançamento",(D7*E7)+(D7*F7)+D7*(1-F7)*(1-G7*H7),D7=0,0)</f>
        <v>0</v>
      </c>
    </row>
    <row r="8" spans="1:14">
      <c r="A8" s="61" t="s">
        <v>13</v>
      </c>
      <c r="B8" s="63" t="s">
        <v>104</v>
      </c>
      <c r="C8" s="63" t="s">
        <v>104</v>
      </c>
      <c r="D8" s="71">
        <v>0</v>
      </c>
      <c r="E8" s="62" t="s">
        <v>104</v>
      </c>
      <c r="F8" s="62" t="s">
        <v>104</v>
      </c>
      <c r="G8" s="62" t="s">
        <v>104</v>
      </c>
      <c r="H8" s="62" t="s">
        <v>104</v>
      </c>
      <c r="I8" s="71" cm="1">
        <f t="array" ref="I8">_xlfn.IFS(C8="Captação",(D8*E8)+(D8*F8),C8="lançamento",D8*(1-F8)*(1-G8*H8),C8="Captação e Lançamento",(D8*E8)+(D8*F8)+D8*(1-F8)*(1-G8*H8),D8=0,0)</f>
        <v>0</v>
      </c>
    </row>
    <row r="9" spans="1:14">
      <c r="A9" s="119" t="s">
        <v>14</v>
      </c>
      <c r="B9" s="62">
        <v>330005057290</v>
      </c>
      <c r="C9" s="62" t="s">
        <v>105</v>
      </c>
      <c r="D9" s="71">
        <v>9460800</v>
      </c>
      <c r="E9" s="64">
        <v>0.4</v>
      </c>
      <c r="F9" s="64">
        <v>1</v>
      </c>
      <c r="G9" s="62" t="s">
        <v>104</v>
      </c>
      <c r="H9" s="62" t="s">
        <v>104</v>
      </c>
      <c r="I9" s="71" cm="1">
        <f t="array" ref="I9">_xlfn.IFS(C9="Captação",(D9*E9)+(D9*F9),C9="lançamento",D9*(1-F9)*(1-G9*H9),C9="Captação e Lançamento",(D9*E9)+(D9*F9)+D9*(1-F9)*(1-G9*H9),D9=0,0)</f>
        <v>13245120</v>
      </c>
      <c r="J9" s="96"/>
      <c r="N9" s="96"/>
    </row>
    <row r="10" spans="1:14">
      <c r="A10" s="120"/>
      <c r="B10" s="62">
        <v>330008794244</v>
      </c>
      <c r="C10" s="62" t="s">
        <v>105</v>
      </c>
      <c r="D10" s="71">
        <v>1752000</v>
      </c>
      <c r="E10" s="64">
        <v>0.4</v>
      </c>
      <c r="F10" s="64">
        <v>1</v>
      </c>
      <c r="G10" s="62" t="s">
        <v>104</v>
      </c>
      <c r="H10" s="62" t="s">
        <v>104</v>
      </c>
      <c r="I10" s="71" cm="1">
        <f t="array" ref="I10">_xlfn.IFS(C10="Captação",(D10*E10)+(D10*F10),C10="lançamento",D10*(1-F10)*(1-G10*H10),C10="Captação e Lançamento",(D10*E10)+(D10*F10)+D10*(1-F10)*(1-G10*H10),D10=0,0)</f>
        <v>2452800</v>
      </c>
      <c r="J10" s="96"/>
      <c r="N10" s="96"/>
    </row>
    <row r="11" spans="1:14">
      <c r="A11" s="120"/>
      <c r="B11" s="62">
        <v>330028899319</v>
      </c>
      <c r="C11" s="62" t="s">
        <v>105</v>
      </c>
      <c r="D11" s="71">
        <v>7866480</v>
      </c>
      <c r="E11" s="64">
        <v>0.4</v>
      </c>
      <c r="F11" s="64">
        <v>1</v>
      </c>
      <c r="G11" s="62" t="s">
        <v>104</v>
      </c>
      <c r="H11" s="62" t="s">
        <v>104</v>
      </c>
      <c r="I11" s="71" cm="1">
        <f t="array" ref="I11">_xlfn.IFS(C11="Captação",(D11*E11)+(D11*F11),C11="lançamento",D11*(1-F11)*(1-G11*H11),C11="Captação e Lançamento",(D11*E11)+(D11*F11)+D11*(1-F11)*(1-G11*H11),D11=0,0)</f>
        <v>11013072</v>
      </c>
      <c r="J11" s="96"/>
      <c r="N11" s="96"/>
    </row>
    <row r="12" spans="1:14">
      <c r="A12" s="120"/>
      <c r="B12" s="62">
        <v>330029215847</v>
      </c>
      <c r="C12" s="62" t="s">
        <v>105</v>
      </c>
      <c r="D12" s="71">
        <v>2712095.9999999902</v>
      </c>
      <c r="E12" s="64">
        <v>0.4</v>
      </c>
      <c r="F12" s="64">
        <v>1</v>
      </c>
      <c r="G12" s="62" t="s">
        <v>104</v>
      </c>
      <c r="H12" s="84">
        <v>0.88662935323383085</v>
      </c>
      <c r="I12" s="71" cm="1">
        <f t="array" ref="I12">_xlfn.IFS(C12="Captação",(D12*E12)+(D12*F12),C12="lançamento",D12*(1-F12)*(1-G12*H12),C12="Captação e Lançamento",(D12*E12)+(D12*F12)+D12*(1-F12)*(1-G12*H12),D12=0,0)</f>
        <v>3796934.3999999864</v>
      </c>
      <c r="J12" s="96"/>
      <c r="N12" s="96"/>
    </row>
    <row r="13" spans="1:14">
      <c r="A13" s="120"/>
      <c r="B13" s="62">
        <v>330022238361</v>
      </c>
      <c r="C13" s="62" t="s">
        <v>112</v>
      </c>
      <c r="D13" s="71">
        <v>9666000</v>
      </c>
      <c r="E13" s="64">
        <v>0.4</v>
      </c>
      <c r="F13" s="64">
        <v>1</v>
      </c>
      <c r="G13" s="84">
        <v>0.34</v>
      </c>
      <c r="H13" s="64">
        <v>0.91111111111111109</v>
      </c>
      <c r="I13" s="71" cm="1">
        <f t="array" ref="I13">_xlfn.IFS(C13="Captação",(D13*E13)+(D13*F13),C13="lançamento",D13*(1-F13)*(1-G13*H13),C13="Captação e Lançamento",(D13*E13)+(D13*F13)+D13*(1-F13)*(1-G13*H13),D13=0,0)</f>
        <v>13532400</v>
      </c>
      <c r="J13" s="96"/>
      <c r="N13" s="96"/>
    </row>
    <row r="14" spans="1:14">
      <c r="A14" s="120"/>
      <c r="B14" s="62">
        <v>330028097093</v>
      </c>
      <c r="C14" s="62" t="s">
        <v>112</v>
      </c>
      <c r="D14" s="71">
        <v>4520160</v>
      </c>
      <c r="E14" s="64">
        <v>0.4</v>
      </c>
      <c r="F14" s="84">
        <v>0</v>
      </c>
      <c r="G14" s="84">
        <v>0.8604651162790693</v>
      </c>
      <c r="H14" s="84">
        <v>0.95111111111111113</v>
      </c>
      <c r="I14" s="71" cm="1">
        <f t="array" ref="I14">_xlfn.IFS(C14="Captação",(D14*E14)+(D14*F14),C14="lançamento",D14*(1-F14)*(1-G14*H14),C14="Captação e Lançamento",(D14*E14)+(D14*F14)+D14*(1-F14)*(1-G14*H14),D14=0,0)</f>
        <v>2628934.4000000018</v>
      </c>
      <c r="J14" s="96"/>
    </row>
    <row r="15" spans="1:14">
      <c r="A15" s="61" t="s">
        <v>15</v>
      </c>
      <c r="B15" s="63" t="s">
        <v>104</v>
      </c>
      <c r="C15" s="63" t="s">
        <v>104</v>
      </c>
      <c r="D15" s="71">
        <v>0</v>
      </c>
      <c r="E15" s="62" t="s">
        <v>104</v>
      </c>
      <c r="F15" s="62" t="s">
        <v>104</v>
      </c>
      <c r="G15" s="62" t="s">
        <v>104</v>
      </c>
      <c r="H15" s="62" t="s">
        <v>104</v>
      </c>
      <c r="I15" s="71" cm="1">
        <f t="array" ref="I15">_xlfn.IFS(C15="Captação",(D15*E15)+(D15*F15),C15="lançamento",D15*(1-F15)*(1-G15*H15),C15="Captação e Lançamento",(D15*E15)+(D15*F15)+D15*(1-F15)*(1-G15*H15),D15=0,0)</f>
        <v>0</v>
      </c>
    </row>
    <row r="16" spans="1:14" ht="15" customHeight="1">
      <c r="A16" s="61" t="s">
        <v>16</v>
      </c>
      <c r="B16" s="63" t="s">
        <v>104</v>
      </c>
      <c r="C16" s="63" t="s">
        <v>104</v>
      </c>
      <c r="D16" s="71">
        <v>0</v>
      </c>
      <c r="E16" s="62" t="s">
        <v>104</v>
      </c>
      <c r="F16" s="62" t="s">
        <v>104</v>
      </c>
      <c r="G16" s="62" t="s">
        <v>104</v>
      </c>
      <c r="H16" s="62" t="s">
        <v>104</v>
      </c>
      <c r="I16" s="71" cm="1">
        <f t="array" ref="I16">_xlfn.IFS(C16="Captação",(D16*E16)+(D16*F16),C16="lançamento",D16*(1-F16)*(1-G16*H16),C16="Captação e Lançamento",(D16*E16)+(D16*F16)+D16*(1-F16)*(1-G16*H16),D16=0,0)</f>
        <v>0</v>
      </c>
    </row>
    <row r="17" spans="1:14">
      <c r="A17" s="59"/>
      <c r="B17" s="80"/>
      <c r="C17" s="80"/>
      <c r="D17" s="81"/>
      <c r="E17" s="82"/>
      <c r="F17" s="82"/>
      <c r="G17" s="82"/>
      <c r="H17" s="82"/>
      <c r="I17" s="81"/>
    </row>
    <row r="18" spans="1:14">
      <c r="A18" s="59"/>
      <c r="B18" s="80"/>
      <c r="C18" s="80"/>
      <c r="D18" s="81"/>
      <c r="E18" s="82"/>
      <c r="F18" s="82"/>
      <c r="G18" s="82"/>
      <c r="H18" s="82"/>
      <c r="I18" s="81"/>
    </row>
    <row r="19" spans="1:14">
      <c r="A19" s="72" t="s">
        <v>71</v>
      </c>
      <c r="B19" s="130" t="s">
        <v>97</v>
      </c>
      <c r="C19" s="130"/>
      <c r="D19" s="130"/>
      <c r="E19" s="130"/>
      <c r="F19" s="130"/>
      <c r="G19" s="130"/>
      <c r="H19" s="130"/>
      <c r="I19" s="130"/>
    </row>
    <row r="20" spans="1:14" ht="11.25" customHeight="1">
      <c r="A20" s="114" t="s">
        <v>51</v>
      </c>
      <c r="B20" s="114" t="s">
        <v>107</v>
      </c>
      <c r="C20" s="114" t="s">
        <v>111</v>
      </c>
      <c r="D20" s="115" t="s">
        <v>102</v>
      </c>
      <c r="E20" s="128" t="s">
        <v>37</v>
      </c>
      <c r="F20" s="128"/>
      <c r="G20" s="128"/>
      <c r="H20" s="128"/>
      <c r="I20" s="138" t="s">
        <v>103</v>
      </c>
    </row>
    <row r="21" spans="1:14">
      <c r="A21" s="114"/>
      <c r="B21" s="114"/>
      <c r="C21" s="114"/>
      <c r="D21" s="115"/>
      <c r="E21" s="67" t="s">
        <v>38</v>
      </c>
      <c r="F21" s="67" t="s">
        <v>39</v>
      </c>
      <c r="G21" s="67" t="s">
        <v>40</v>
      </c>
      <c r="H21" s="67" t="s">
        <v>41</v>
      </c>
      <c r="I21" s="138"/>
    </row>
    <row r="22" spans="1:14">
      <c r="A22" s="61" t="s">
        <v>11</v>
      </c>
      <c r="B22" s="63" t="s">
        <v>104</v>
      </c>
      <c r="C22" s="63" t="s">
        <v>104</v>
      </c>
      <c r="D22" s="71">
        <v>0</v>
      </c>
      <c r="E22" s="62" t="s">
        <v>104</v>
      </c>
      <c r="F22" s="62" t="s">
        <v>104</v>
      </c>
      <c r="G22" s="62" t="s">
        <v>104</v>
      </c>
      <c r="H22" s="62" t="s">
        <v>104</v>
      </c>
      <c r="I22" s="71" cm="1">
        <f t="array" ref="I22">_xlfn.IFS(C22="Captação",(D22*E22)+(D22*F22),C22="lançamento",D22*(1-F22)*(1-G22*H22),C22="Captação e Lançamento",(D22*E22)+(D22*F22)+D22*(1-F22)*(1-G22*H22),D22=0,0)</f>
        <v>0</v>
      </c>
    </row>
    <row r="23" spans="1:14">
      <c r="A23" s="61" t="s">
        <v>12</v>
      </c>
      <c r="B23" s="63" t="s">
        <v>104</v>
      </c>
      <c r="C23" s="63" t="s">
        <v>104</v>
      </c>
      <c r="D23" s="71">
        <v>0</v>
      </c>
      <c r="E23" s="62" t="s">
        <v>104</v>
      </c>
      <c r="F23" s="62" t="s">
        <v>104</v>
      </c>
      <c r="G23" s="62" t="s">
        <v>104</v>
      </c>
      <c r="H23" s="62" t="s">
        <v>104</v>
      </c>
      <c r="I23" s="71" cm="1">
        <f t="array" ref="I23">_xlfn.IFS(C23="Captação",(D23*E23)+(D23*F23),C23="lançamento",D23*(1-F23)*(1-G23*H23),C23="Captação e Lançamento",(D23*E23)+(D23*F23)+D23*(1-F23)*(1-G23*H23),D23=0,0)</f>
        <v>0</v>
      </c>
    </row>
    <row r="24" spans="1:14">
      <c r="A24" s="61" t="s">
        <v>13</v>
      </c>
      <c r="B24" s="63" t="s">
        <v>104</v>
      </c>
      <c r="C24" s="63" t="s">
        <v>104</v>
      </c>
      <c r="D24" s="71">
        <v>0</v>
      </c>
      <c r="E24" s="62" t="s">
        <v>104</v>
      </c>
      <c r="F24" s="62" t="s">
        <v>104</v>
      </c>
      <c r="G24" s="62" t="s">
        <v>104</v>
      </c>
      <c r="H24" s="62" t="s">
        <v>104</v>
      </c>
      <c r="I24" s="71" cm="1">
        <f t="array" ref="I24">_xlfn.IFS(C24="Captação",(D24*E24)+(D24*F24),C24="lançamento",D24*(1-F24)*(1-G24*H24),C24="Captação e Lançamento",(D24*E24)+(D24*F24)+D24*(1-F24)*(1-G24*H24),D24=0,0)</f>
        <v>0</v>
      </c>
    </row>
    <row r="25" spans="1:14">
      <c r="A25" s="132" t="s">
        <v>14</v>
      </c>
      <c r="B25" s="62">
        <v>330037662482</v>
      </c>
      <c r="C25" s="62" t="s">
        <v>105</v>
      </c>
      <c r="D25" s="71">
        <v>2148000</v>
      </c>
      <c r="E25" s="64">
        <v>0.4</v>
      </c>
      <c r="F25" s="64">
        <v>1</v>
      </c>
      <c r="G25" s="62" t="s">
        <v>104</v>
      </c>
      <c r="H25" s="62" t="s">
        <v>104</v>
      </c>
      <c r="I25" s="71" cm="1">
        <f t="array" ref="I25">_xlfn.IFS(C25="Captação",(D25*E25)+(D25*F25),C25="lançamento",D25*(1-F25)*(1-G25*H25),C25="Captação e Lançamento",(D25*E25)+(D25*F25)+D25*(1-F25)*(1-G25*H25),D25=0,0)</f>
        <v>3007200</v>
      </c>
    </row>
    <row r="26" spans="1:14">
      <c r="A26" s="132"/>
      <c r="B26" s="62">
        <v>330005057109</v>
      </c>
      <c r="C26" s="62" t="s">
        <v>112</v>
      </c>
      <c r="D26" s="71">
        <v>2712096</v>
      </c>
      <c r="E26" s="64">
        <v>0.4</v>
      </c>
      <c r="F26" s="64">
        <v>0.86046511627906974</v>
      </c>
      <c r="G26" s="64">
        <v>1</v>
      </c>
      <c r="H26" s="64">
        <v>0.84630363036303624</v>
      </c>
      <c r="I26" s="71" cm="1">
        <f t="array" ref="I26">_xlfn.IFS(C26="Captação",(D26*E26)+(D26*F26),C26="lançamento",D26*(1-F26)*(1-G26*H26),C26="Captação e Lançamento",(D26*E26)+(D26*F26)+D26*(1-F26)*(1-G26*H26),D26=0,0)</f>
        <v>3476666.0245544557</v>
      </c>
    </row>
    <row r="27" spans="1:14">
      <c r="A27" s="132"/>
      <c r="B27" s="62">
        <v>330005057290</v>
      </c>
      <c r="C27" s="62" t="s">
        <v>112</v>
      </c>
      <c r="D27" s="71">
        <v>9460800</v>
      </c>
      <c r="E27" s="64">
        <v>0.4</v>
      </c>
      <c r="F27" s="64">
        <v>0.8</v>
      </c>
      <c r="G27" s="64">
        <v>1</v>
      </c>
      <c r="H27" s="64">
        <v>0.91111111111111109</v>
      </c>
      <c r="I27" s="71" cm="1">
        <f t="array" ref="I27">_xlfn.IFS(C27="Captação",(D27*E27)+(D27*F27),C27="lançamento",D27*(1-F27)*(1-G27*H27),C27="Captação e Lançamento",(D27*E27)+(D27*F27)+D27*(1-F27)*(1-G27*H27),D27=0,0)</f>
        <v>11521152</v>
      </c>
    </row>
    <row r="28" spans="1:14">
      <c r="A28" s="132"/>
      <c r="B28" s="62">
        <v>330008794244</v>
      </c>
      <c r="C28" s="62" t="s">
        <v>112</v>
      </c>
      <c r="D28" s="71">
        <v>1752000</v>
      </c>
      <c r="E28" s="64">
        <v>0.4</v>
      </c>
      <c r="F28" s="64">
        <v>0</v>
      </c>
      <c r="G28" s="64">
        <v>1</v>
      </c>
      <c r="H28" s="64">
        <v>0.91111111111111109</v>
      </c>
      <c r="I28" s="71" cm="1">
        <f t="array" ref="I28">_xlfn.IFS(C28="Captação",(D28*E28)+(D28*F28),C28="lançamento",D28*(1-F28)*(1-G28*H28),C28="Captação e Lançamento",(D28*E28)+(D28*F28)+D28*(1-F28)*(1-G28*H28),D28=0,0)</f>
        <v>856533.33333333337</v>
      </c>
    </row>
    <row r="29" spans="1:14">
      <c r="A29" s="132"/>
      <c r="B29" s="62">
        <v>330022238361</v>
      </c>
      <c r="C29" s="62" t="s">
        <v>112</v>
      </c>
      <c r="D29" s="71">
        <v>9666000</v>
      </c>
      <c r="E29" s="64">
        <v>0.4</v>
      </c>
      <c r="F29" s="64">
        <v>0.66286778398510249</v>
      </c>
      <c r="G29" s="64">
        <v>1</v>
      </c>
      <c r="H29" s="64">
        <v>0.91111111111111109</v>
      </c>
      <c r="I29" s="71" cm="1">
        <f t="array" ref="I29">_xlfn.IFS(C29="Captação",(D29*E29)+(D29*F29),C29="lançamento",D29*(1-F29)*(1-G29*H29),C29="Captação e Lançamento",(D29*E29)+(D29*F29)+D29*(1-F29)*(1-G29*H29),D29=0,0)</f>
        <v>10563344</v>
      </c>
    </row>
    <row r="30" spans="1:14">
      <c r="A30" s="132"/>
      <c r="B30" s="62">
        <v>330028097093</v>
      </c>
      <c r="C30" s="62" t="s">
        <v>112</v>
      </c>
      <c r="D30" s="71">
        <v>4520160</v>
      </c>
      <c r="E30" s="64">
        <v>0.4</v>
      </c>
      <c r="F30" s="64">
        <v>0</v>
      </c>
      <c r="G30" s="64">
        <v>1</v>
      </c>
      <c r="H30" s="64">
        <v>0.95111111111111113</v>
      </c>
      <c r="I30" s="71" cm="1">
        <f t="array" ref="I30">_xlfn.IFS(C30="Captação",(D30*E30)+(D30*F30),C30="lançamento",D30*(1-F30)*(1-G30*H30),C30="Captação e Lançamento",(D30*E30)+(D30*F30)+D30*(1-F30)*(1-G30*H30),D30=0,0)</f>
        <v>2029049.5999999999</v>
      </c>
    </row>
    <row r="31" spans="1:14">
      <c r="A31" s="132"/>
      <c r="B31" s="62">
        <v>330028899319</v>
      </c>
      <c r="C31" s="62" t="s">
        <v>112</v>
      </c>
      <c r="D31" s="71">
        <v>7866480</v>
      </c>
      <c r="E31" s="64">
        <v>0.4</v>
      </c>
      <c r="F31" s="64">
        <v>0.5523385300668151</v>
      </c>
      <c r="G31" s="64">
        <v>1</v>
      </c>
      <c r="H31" s="64">
        <v>0.9</v>
      </c>
      <c r="I31" s="71" cm="1">
        <f t="array" ref="I31">_xlfn.IFS(C31="Captação",(D31*E31)+(D31*F31),C31="lançamento",D31*(1-F31)*(1-G31*H31),C31="Captação e Lançamento",(D31*E31)+(D31*F31)+D31*(1-F31)*(1-G31*H31),D31=0,0)</f>
        <v>7843704</v>
      </c>
      <c r="N31" s="87"/>
    </row>
    <row r="32" spans="1:14">
      <c r="A32" s="132"/>
      <c r="B32" s="62">
        <v>330028899580</v>
      </c>
      <c r="C32" s="62" t="s">
        <v>112</v>
      </c>
      <c r="D32" s="71">
        <v>23815812</v>
      </c>
      <c r="E32" s="64">
        <v>0.4</v>
      </c>
      <c r="F32" s="64">
        <v>0.55320557619450472</v>
      </c>
      <c r="G32" s="64">
        <v>1</v>
      </c>
      <c r="H32" s="64">
        <v>0.9</v>
      </c>
      <c r="I32" s="71" cm="1">
        <f t="array" ref="I32">_xlfn.IFS(C32="Captação",(D32*E32)+(D32*F32),C32="lançamento",D32*(1-F32)*(1-G32*H32),C32="Captação e Lançamento",(D32*E32)+(D32*F32)+D32*(1-F32)*(1-G32*H32),D32=0,0)</f>
        <v>23765442</v>
      </c>
    </row>
    <row r="33" spans="1:9">
      <c r="A33" s="132"/>
      <c r="B33" s="62">
        <v>330029215847</v>
      </c>
      <c r="C33" s="62" t="s">
        <v>112</v>
      </c>
      <c r="D33" s="71">
        <v>2712095.9999999902</v>
      </c>
      <c r="E33" s="64">
        <v>0.4</v>
      </c>
      <c r="F33" s="84">
        <v>0.8604651162790693</v>
      </c>
      <c r="G33" s="64">
        <v>1</v>
      </c>
      <c r="H33" s="64">
        <v>0.88662935323383085</v>
      </c>
      <c r="I33" s="71" cm="1">
        <f t="array" ref="I33">_xlfn.IFS(C33="Captação",(D33*E33)+(D33*F33),C33="lançamento",D33*(1-F33)*(1-G33*H33),C33="Captação e Lançamento",(D33*E33)+(D33*F33)+D33*(1-F33)*(1-G33*H33),D33=0,0)</f>
        <v>3461405.4805970015</v>
      </c>
    </row>
    <row r="34" spans="1:9">
      <c r="A34" s="61" t="s">
        <v>15</v>
      </c>
      <c r="B34" s="63" t="s">
        <v>104</v>
      </c>
      <c r="C34" s="63" t="s">
        <v>104</v>
      </c>
      <c r="D34" s="71">
        <v>0</v>
      </c>
      <c r="E34" s="62" t="s">
        <v>104</v>
      </c>
      <c r="F34" s="62" t="s">
        <v>104</v>
      </c>
      <c r="G34" s="62" t="s">
        <v>104</v>
      </c>
      <c r="H34" s="62" t="s">
        <v>104</v>
      </c>
      <c r="I34" s="71" cm="1">
        <f t="array" ref="I34">_xlfn.IFS(C34="Captação",(D34*E34)+(D34*F34),C34="lançamento",D34*(1-F34)*(1-G34*H34),C34="Captação e Lançamento",(D34*E34)+(D34*F34)+D34*(1-F34)*(1-G34*H34),D34=0,0)</f>
        <v>0</v>
      </c>
    </row>
    <row r="35" spans="1:9">
      <c r="A35" s="61" t="s">
        <v>16</v>
      </c>
      <c r="B35" s="63" t="s">
        <v>104</v>
      </c>
      <c r="C35" s="63" t="s">
        <v>104</v>
      </c>
      <c r="D35" s="71">
        <v>0</v>
      </c>
      <c r="E35" s="62" t="s">
        <v>104</v>
      </c>
      <c r="F35" s="62" t="s">
        <v>104</v>
      </c>
      <c r="G35" s="62" t="s">
        <v>104</v>
      </c>
      <c r="H35" s="62" t="s">
        <v>104</v>
      </c>
      <c r="I35" s="71" cm="1">
        <f t="array" ref="I35">_xlfn.IFS(C35="Captação",(D35*E35)+(D35*F35),C35="lançamento",D35*(1-F35)*(1-G35*H35),C35="Captação e Lançamento",(D35*E35)+(D35*F35)+D35*(1-F35)*(1-G35*H35),D35=0,0)</f>
        <v>0</v>
      </c>
    </row>
    <row r="38" spans="1:9">
      <c r="A38" s="72" t="s">
        <v>76</v>
      </c>
      <c r="B38" s="130" t="s">
        <v>96</v>
      </c>
      <c r="C38" s="130"/>
      <c r="D38" s="130"/>
      <c r="E38" s="130"/>
      <c r="F38" s="130"/>
      <c r="G38" s="130"/>
      <c r="H38" s="130"/>
      <c r="I38" s="130"/>
    </row>
    <row r="39" spans="1:9" ht="11.25" customHeight="1">
      <c r="A39" s="114" t="s">
        <v>51</v>
      </c>
      <c r="B39" s="118" t="s">
        <v>107</v>
      </c>
      <c r="C39" s="122" t="s">
        <v>111</v>
      </c>
      <c r="D39" s="115" t="s">
        <v>102</v>
      </c>
      <c r="E39" s="133" t="s">
        <v>37</v>
      </c>
      <c r="F39" s="134"/>
      <c r="G39" s="134"/>
      <c r="H39" s="135"/>
      <c r="I39" s="136" t="s">
        <v>103</v>
      </c>
    </row>
    <row r="40" spans="1:9">
      <c r="A40" s="114"/>
      <c r="B40" s="118"/>
      <c r="C40" s="123"/>
      <c r="D40" s="115"/>
      <c r="E40" s="67" t="s">
        <v>38</v>
      </c>
      <c r="F40" s="67" t="s">
        <v>39</v>
      </c>
      <c r="G40" s="67" t="s">
        <v>40</v>
      </c>
      <c r="H40" s="67" t="s">
        <v>41</v>
      </c>
      <c r="I40" s="137"/>
    </row>
    <row r="41" spans="1:9">
      <c r="A41" s="61" t="s">
        <v>11</v>
      </c>
      <c r="B41" s="63" t="s">
        <v>104</v>
      </c>
      <c r="C41" s="62" t="s">
        <v>104</v>
      </c>
      <c r="D41" s="70">
        <f>'Resumo Demandas '!P7*365*24*60*60</f>
        <v>0</v>
      </c>
      <c r="E41" s="66" t="s">
        <v>104</v>
      </c>
      <c r="F41" s="66" t="s">
        <v>104</v>
      </c>
      <c r="G41" s="66" t="s">
        <v>104</v>
      </c>
      <c r="H41" s="66" t="s">
        <v>104</v>
      </c>
      <c r="I41" s="71" cm="1">
        <f t="array" ref="I41">_xlfn.IFS(C41="Captação",(D41*E41)+(D41*F41),C41="lançamento",D41*(1-F41)*(1-G41*H41),C41="Captação e Lançamento",(D41*E41)+(D41*F41)+D41*(1-F41)*(1-G41*H41),D41=0,0)</f>
        <v>0</v>
      </c>
    </row>
    <row r="42" spans="1:9">
      <c r="A42" s="61" t="s">
        <v>12</v>
      </c>
      <c r="B42" s="63" t="s">
        <v>104</v>
      </c>
      <c r="C42" s="62" t="s">
        <v>104</v>
      </c>
      <c r="D42" s="70">
        <f>'Resumo Demandas '!P8*365*24*60*60</f>
        <v>0</v>
      </c>
      <c r="E42" s="66" t="s">
        <v>104</v>
      </c>
      <c r="F42" s="66" t="s">
        <v>104</v>
      </c>
      <c r="G42" s="66" t="s">
        <v>104</v>
      </c>
      <c r="H42" s="66" t="s">
        <v>104</v>
      </c>
      <c r="I42" s="71" cm="1">
        <f t="array" ref="I42">_xlfn.IFS(C42="Captação",(D42*E42)+(D42*F42),C42="lançamento",D42*(1-F42)*(1-G42*H42),C42="Captação e Lançamento",(D42*E42)+(D42*F42)+D42*(1-F42)*(1-G42*H42),D42=0,0)</f>
        <v>0</v>
      </c>
    </row>
    <row r="43" spans="1:9">
      <c r="A43" s="61" t="s">
        <v>13</v>
      </c>
      <c r="B43" s="63" t="s">
        <v>104</v>
      </c>
      <c r="C43" s="62" t="s">
        <v>104</v>
      </c>
      <c r="D43" s="70">
        <f>'Resumo Demandas '!P9*365*24*60*60</f>
        <v>0</v>
      </c>
      <c r="E43" s="62" t="s">
        <v>104</v>
      </c>
      <c r="F43" s="62" t="s">
        <v>104</v>
      </c>
      <c r="G43" s="62" t="s">
        <v>104</v>
      </c>
      <c r="H43" s="62" t="s">
        <v>104</v>
      </c>
      <c r="I43" s="71" cm="1">
        <f t="array" ref="I43">_xlfn.IFS(C43="Captação",(D43*E43)+(D43*F43),C43="lançamento",D43*(1-F43)*(1-G43*H43),C43="Captação e Lançamento",(D43*E43)+(D43*F43)+D43*(1-F43)*(1-G43*H43),D43=0,0)</f>
        <v>0</v>
      </c>
    </row>
    <row r="44" spans="1:9">
      <c r="A44" s="77" t="s">
        <v>14</v>
      </c>
      <c r="B44" s="63" t="s">
        <v>104</v>
      </c>
      <c r="C44" s="62" t="s">
        <v>112</v>
      </c>
      <c r="D44" s="70">
        <f>'Resumo Demandas '!P10*365*24*60*60</f>
        <v>23349254.399999999</v>
      </c>
      <c r="E44" s="64">
        <v>0.4</v>
      </c>
      <c r="F44" s="64">
        <v>0.27</v>
      </c>
      <c r="G44" s="64">
        <v>1</v>
      </c>
      <c r="H44" s="64">
        <v>0.6</v>
      </c>
      <c r="I44" s="71" cm="1">
        <f t="array" ref="I44">_xlfn.IFS(C44="Captação",(D44*E44)+(D44*F44),C44="lançamento",D44*(1-F44)*(1-G44*H44),C44="Captação e Lançamento",(D44*E44)+(D44*F44)+D44*(1-F44)*(1-G44*H44),D44=0,0)</f>
        <v>22461982.732799999</v>
      </c>
    </row>
    <row r="45" spans="1:9">
      <c r="A45" s="61" t="s">
        <v>15</v>
      </c>
      <c r="B45" s="63" t="s">
        <v>104</v>
      </c>
      <c r="C45" s="62" t="s">
        <v>104</v>
      </c>
      <c r="D45" s="70">
        <f>'Resumo Demandas '!P11*365*24*60*60</f>
        <v>0</v>
      </c>
      <c r="E45" s="62" t="s">
        <v>104</v>
      </c>
      <c r="F45" s="62" t="s">
        <v>104</v>
      </c>
      <c r="G45" s="62" t="s">
        <v>104</v>
      </c>
      <c r="H45" s="62" t="s">
        <v>104</v>
      </c>
      <c r="I45" s="71" cm="1">
        <f t="array" ref="I45">_xlfn.IFS(C45="Captação",(D45*E45)+(D45*F45),C45="lançamento",D45*(1-F45)*(1-G45*H45),C45="Captação e Lançamento",(D45*E45)+(D45*F45)+D45*(1-F45)*(1-G45*H45),D45=0,0)</f>
        <v>0</v>
      </c>
    </row>
    <row r="46" spans="1:9">
      <c r="A46" s="68" t="s">
        <v>16</v>
      </c>
      <c r="B46" s="63" t="s">
        <v>104</v>
      </c>
      <c r="C46" s="62" t="s">
        <v>112</v>
      </c>
      <c r="D46" s="70">
        <f>'Resumo Demandas '!P12*365*24*60*60</f>
        <v>18921.599999999999</v>
      </c>
      <c r="E46" s="64">
        <v>0.4</v>
      </c>
      <c r="F46" s="64">
        <v>0.27</v>
      </c>
      <c r="G46" s="64">
        <v>1</v>
      </c>
      <c r="H46" s="64">
        <v>0.6</v>
      </c>
      <c r="I46" s="71" cm="1">
        <f t="array" ref="I46">_xlfn.IFS(C46="Captação",(D46*E46)+(D46*F46),C46="lançamento",D46*(1-F46)*(1-G46*H46),C46="Captação e Lançamento",(D46*E46)+(D46*F46)+D46*(1-F46)*(1-G46*H46),D46=0,0)</f>
        <v>18202.5792</v>
      </c>
    </row>
  </sheetData>
  <mergeCells count="24">
    <mergeCell ref="A25:A33"/>
    <mergeCell ref="B38:I38"/>
    <mergeCell ref="A39:A40"/>
    <mergeCell ref="B39:B40"/>
    <mergeCell ref="C39:C40"/>
    <mergeCell ref="D39:D40"/>
    <mergeCell ref="E39:H39"/>
    <mergeCell ref="I39:I40"/>
    <mergeCell ref="A9:A14"/>
    <mergeCell ref="B19:I19"/>
    <mergeCell ref="A20:A21"/>
    <mergeCell ref="B20:B21"/>
    <mergeCell ref="C20:C21"/>
    <mergeCell ref="D20:D21"/>
    <mergeCell ref="E20:H20"/>
    <mergeCell ref="I20:I21"/>
    <mergeCell ref="A1:I1"/>
    <mergeCell ref="B3:I3"/>
    <mergeCell ref="A4:A5"/>
    <mergeCell ref="B4:B5"/>
    <mergeCell ref="C4:C5"/>
    <mergeCell ref="D4:D5"/>
    <mergeCell ref="E4:H4"/>
    <mergeCell ref="I4:I5"/>
  </mergeCells>
  <pageMargins left="0.511811024" right="0.511811024" top="0.78740157499999996" bottom="0.78740157499999996" header="0.31496062000000002" footer="0.31496062000000002"/>
  <drawing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F5D27A-A58C-4819-8F3E-C6D85023A93D}">
  <dimension ref="A1:K34"/>
  <sheetViews>
    <sheetView topLeftCell="A13" workbookViewId="0">
      <selection activeCell="H32" sqref="H32"/>
    </sheetView>
  </sheetViews>
  <sheetFormatPr defaultColWidth="9.125" defaultRowHeight="12.75"/>
  <cols>
    <col min="1" max="1" width="18.75" style="7" customWidth="1"/>
    <col min="2" max="2" width="20.25" style="1" customWidth="1"/>
    <col min="3" max="3" width="15" style="1" bestFit="1" customWidth="1"/>
    <col min="4" max="4" width="13.75" style="1" bestFit="1" customWidth="1"/>
    <col min="5" max="5" width="12.625" style="1" bestFit="1" customWidth="1"/>
    <col min="6" max="6" width="15.375" style="1" bestFit="1" customWidth="1"/>
    <col min="7" max="8" width="9.125" style="1"/>
    <col min="9" max="9" width="6.375" style="1" bestFit="1" customWidth="1"/>
    <col min="10" max="10" width="8" style="1" bestFit="1" customWidth="1"/>
    <col min="11" max="11" width="6" style="1" bestFit="1" customWidth="1"/>
    <col min="12" max="16384" width="9.125" style="1"/>
  </cols>
  <sheetData>
    <row r="1" spans="1:11">
      <c r="A1" s="110" t="s">
        <v>108</v>
      </c>
      <c r="B1" s="110"/>
      <c r="C1" s="110"/>
      <c r="D1" s="110"/>
      <c r="E1" s="110"/>
      <c r="F1" s="110"/>
      <c r="I1" s="141" t="s">
        <v>70</v>
      </c>
      <c r="J1" s="141"/>
      <c r="K1" s="141"/>
    </row>
    <row r="2" spans="1:11">
      <c r="I2" s="57" t="s">
        <v>63</v>
      </c>
      <c r="J2" s="58">
        <v>6.5949999999999995E-2</v>
      </c>
      <c r="K2" s="58" t="s">
        <v>43</v>
      </c>
    </row>
    <row r="3" spans="1:11">
      <c r="A3" s="43" t="s">
        <v>69</v>
      </c>
      <c r="B3" s="2" t="s">
        <v>98</v>
      </c>
      <c r="I3" s="57" t="s">
        <v>64</v>
      </c>
      <c r="J3" s="58">
        <f>J4-J2</f>
        <v>8.405E-2</v>
      </c>
      <c r="K3" s="58" t="s">
        <v>43</v>
      </c>
    </row>
    <row r="4" spans="1:11">
      <c r="I4" s="57" t="s">
        <v>65</v>
      </c>
      <c r="J4" s="58">
        <v>0.15</v>
      </c>
      <c r="K4" s="58" t="s">
        <v>43</v>
      </c>
    </row>
    <row r="5" spans="1:11" ht="15" customHeight="1">
      <c r="A5" s="140" t="s">
        <v>36</v>
      </c>
      <c r="B5" s="140" t="s">
        <v>109</v>
      </c>
      <c r="C5" s="140"/>
      <c r="D5" s="140"/>
      <c r="E5" s="140"/>
      <c r="F5" s="140"/>
    </row>
    <row r="6" spans="1:11">
      <c r="A6" s="140"/>
      <c r="B6" s="73" t="s">
        <v>1</v>
      </c>
      <c r="C6" s="73" t="s">
        <v>2</v>
      </c>
      <c r="D6" s="73" t="s">
        <v>3</v>
      </c>
      <c r="E6" s="73" t="s">
        <v>4</v>
      </c>
      <c r="F6" s="73" t="s">
        <v>5</v>
      </c>
    </row>
    <row r="7" spans="1:11">
      <c r="A7" s="74" t="s">
        <v>11</v>
      </c>
      <c r="B7" s="78">
        <f>Abastecimento!I6</f>
        <v>0</v>
      </c>
      <c r="C7" s="78">
        <f>Aquicultura!I6</f>
        <v>0</v>
      </c>
      <c r="D7" s="78">
        <f>Indústria!I6</f>
        <v>0</v>
      </c>
      <c r="E7" s="79">
        <f>Irrigação!I6</f>
        <v>0</v>
      </c>
      <c r="F7" s="79">
        <f>Termoelétrica!I6</f>
        <v>0</v>
      </c>
    </row>
    <row r="8" spans="1:11">
      <c r="A8" s="74" t="s">
        <v>12</v>
      </c>
      <c r="B8" s="78">
        <f>Abastecimento!I7</f>
        <v>0</v>
      </c>
      <c r="C8" s="78">
        <f>Aquicultura!I7</f>
        <v>0</v>
      </c>
      <c r="D8" s="78">
        <f>Indústria!I7</f>
        <v>0</v>
      </c>
      <c r="E8" s="79">
        <f>Irrigação!I7</f>
        <v>0</v>
      </c>
      <c r="F8" s="79">
        <f>Termoelétrica!I7</f>
        <v>0</v>
      </c>
    </row>
    <row r="9" spans="1:11">
      <c r="A9" s="74" t="s">
        <v>13</v>
      </c>
      <c r="B9" s="78">
        <f>Abastecimento!I8</f>
        <v>0</v>
      </c>
      <c r="C9" s="78">
        <f>Aquicultura!I8</f>
        <v>0</v>
      </c>
      <c r="D9" s="78">
        <f>Indústria!I8</f>
        <v>0</v>
      </c>
      <c r="E9" s="79">
        <f>Irrigação!I8</f>
        <v>0</v>
      </c>
      <c r="F9" s="79">
        <f>Termoelétrica!I8</f>
        <v>0</v>
      </c>
    </row>
    <row r="10" spans="1:11">
      <c r="A10" s="74" t="s">
        <v>14</v>
      </c>
      <c r="B10" s="78">
        <f>SUM(Abastecimento!I9:I14)</f>
        <v>27126938.092498459</v>
      </c>
      <c r="C10" s="78">
        <f>Aquicultura!I9</f>
        <v>0</v>
      </c>
      <c r="D10" s="78">
        <f>SUM(Indústria!I9:I15)</f>
        <v>10336186.122783305</v>
      </c>
      <c r="E10" s="79">
        <f>Irrigação!I9</f>
        <v>0</v>
      </c>
      <c r="F10" s="79">
        <f>SUM(Termoelétrica!I9:I14)</f>
        <v>46669260.79999999</v>
      </c>
    </row>
    <row r="11" spans="1:11">
      <c r="A11" s="74" t="s">
        <v>15</v>
      </c>
      <c r="B11" s="78">
        <f>Abastecimento!I15</f>
        <v>0</v>
      </c>
      <c r="C11" s="78">
        <f>Aquicultura!I10</f>
        <v>0</v>
      </c>
      <c r="D11" s="78">
        <f>Indústria!I16</f>
        <v>0</v>
      </c>
      <c r="E11" s="79">
        <f>Irrigação!I10</f>
        <v>0</v>
      </c>
      <c r="F11" s="79">
        <f>Termoelétrica!I15</f>
        <v>0</v>
      </c>
    </row>
    <row r="12" spans="1:11">
      <c r="A12" s="74" t="s">
        <v>16</v>
      </c>
      <c r="B12" s="78">
        <f>Abastecimento!I16</f>
        <v>0</v>
      </c>
      <c r="C12" s="78">
        <f>Aquicultura!I11</f>
        <v>0</v>
      </c>
      <c r="D12" s="78">
        <f>Indústria!I17+Indústria!I18</f>
        <v>27625.919999999998</v>
      </c>
      <c r="E12" s="79">
        <f>Irrigação!I11</f>
        <v>0</v>
      </c>
      <c r="F12" s="79">
        <f>Termoelétrica!I16</f>
        <v>0</v>
      </c>
    </row>
    <row r="14" spans="1:11">
      <c r="A14" s="43" t="s">
        <v>71</v>
      </c>
      <c r="B14" s="2" t="s">
        <v>97</v>
      </c>
    </row>
    <row r="16" spans="1:11">
      <c r="A16" s="142" t="s">
        <v>36</v>
      </c>
      <c r="B16" s="142" t="s">
        <v>109</v>
      </c>
      <c r="C16" s="142"/>
      <c r="D16" s="142"/>
      <c r="E16" s="142"/>
      <c r="F16" s="142"/>
    </row>
    <row r="17" spans="1:6">
      <c r="A17" s="142"/>
      <c r="B17" s="75" t="s">
        <v>1</v>
      </c>
      <c r="C17" s="75" t="s">
        <v>2</v>
      </c>
      <c r="D17" s="75" t="s">
        <v>3</v>
      </c>
      <c r="E17" s="75" t="s">
        <v>4</v>
      </c>
      <c r="F17" s="75" t="s">
        <v>5</v>
      </c>
    </row>
    <row r="18" spans="1:6">
      <c r="A18" s="74" t="s">
        <v>11</v>
      </c>
      <c r="B18" s="78">
        <f>Abastecimento!$I$6</f>
        <v>0</v>
      </c>
      <c r="C18" s="78">
        <f>Aquicultura!I16</f>
        <v>0</v>
      </c>
      <c r="D18" s="78">
        <f>Indústria!I24</f>
        <v>0</v>
      </c>
      <c r="E18" s="78">
        <f>Irrigação!I16</f>
        <v>0</v>
      </c>
      <c r="F18" s="78">
        <f>Termoelétrica!I22</f>
        <v>0</v>
      </c>
    </row>
    <row r="19" spans="1:6">
      <c r="A19" s="74" t="s">
        <v>12</v>
      </c>
      <c r="B19" s="78">
        <f>Abastecimento!$I$7</f>
        <v>0</v>
      </c>
      <c r="C19" s="78">
        <f>Aquicultura!I17</f>
        <v>0</v>
      </c>
      <c r="D19" s="78">
        <f>Indústria!I25</f>
        <v>0</v>
      </c>
      <c r="E19" s="78">
        <f>Irrigação!I17</f>
        <v>0</v>
      </c>
      <c r="F19" s="78">
        <f>Termoelétrica!I23</f>
        <v>0</v>
      </c>
    </row>
    <row r="20" spans="1:6">
      <c r="A20" s="74" t="s">
        <v>13</v>
      </c>
      <c r="B20" s="78">
        <f>Abastecimento!$I$8</f>
        <v>0</v>
      </c>
      <c r="C20" s="78">
        <f>Aquicultura!I18</f>
        <v>0</v>
      </c>
      <c r="D20" s="78">
        <f>Indústria!I26</f>
        <v>0</v>
      </c>
      <c r="E20" s="78">
        <f>Irrigação!I18</f>
        <v>0</v>
      </c>
      <c r="F20" s="78">
        <f>Termoelétrica!I24</f>
        <v>0</v>
      </c>
    </row>
    <row r="21" spans="1:6">
      <c r="A21" s="74" t="s">
        <v>14</v>
      </c>
      <c r="B21" s="78">
        <f>SUM(Abastecimento!$I$25:$I$40)</f>
        <v>29809043.353584114</v>
      </c>
      <c r="C21" s="78">
        <f>Aquicultura!I19</f>
        <v>0</v>
      </c>
      <c r="D21" s="78">
        <f>SUM(Indústria!I27:I38)</f>
        <v>11320736.045361057</v>
      </c>
      <c r="E21" s="78">
        <f>Irrigação!I19+Irrigação!I20</f>
        <v>8870.4</v>
      </c>
      <c r="F21" s="78">
        <f>SUM(Termoelétrica!I25:I33)</f>
        <v>66524496.438484788</v>
      </c>
    </row>
    <row r="22" spans="1:6">
      <c r="A22" s="74" t="s">
        <v>15</v>
      </c>
      <c r="B22" s="78">
        <f>Abastecimento!$I$41</f>
        <v>58171.276800000014</v>
      </c>
      <c r="C22" s="78">
        <f>Aquicultura!I20+Aquicultura!I21+Aquicultura!I22</f>
        <v>4110454.2720000003</v>
      </c>
      <c r="D22" s="78">
        <f>Indústria!I39</f>
        <v>0</v>
      </c>
      <c r="E22" s="78">
        <f>SUM(Irrigação!I21:I24)</f>
        <v>9181.2000000000007</v>
      </c>
      <c r="F22" s="78">
        <f>Termoelétrica!I34</f>
        <v>0</v>
      </c>
    </row>
    <row r="23" spans="1:6">
      <c r="A23" s="74" t="s">
        <v>16</v>
      </c>
      <c r="B23" s="78">
        <f>SUM(Abastecimento!$I$42:$I$46)</f>
        <v>865726.18239034084</v>
      </c>
      <c r="C23" s="78">
        <f>Aquicultura!I23</f>
        <v>0</v>
      </c>
      <c r="D23" s="78">
        <f>SUM(Indústria!I40:I43)</f>
        <v>68428.639999999999</v>
      </c>
      <c r="E23" s="78">
        <f>Irrigação!I25+Irrigação!I26</f>
        <v>12012</v>
      </c>
      <c r="F23" s="78">
        <f>Termoelétrica!I35</f>
        <v>0</v>
      </c>
    </row>
    <row r="25" spans="1:6">
      <c r="A25" s="43" t="s">
        <v>76</v>
      </c>
      <c r="B25" s="2" t="s">
        <v>96</v>
      </c>
    </row>
    <row r="27" spans="1:6">
      <c r="A27" s="139" t="s">
        <v>36</v>
      </c>
      <c r="B27" s="139" t="s">
        <v>109</v>
      </c>
      <c r="C27" s="139"/>
      <c r="D27" s="139"/>
      <c r="E27" s="139"/>
      <c r="F27" s="139"/>
    </row>
    <row r="28" spans="1:6">
      <c r="A28" s="139"/>
      <c r="B28" s="76" t="s">
        <v>1</v>
      </c>
      <c r="C28" s="76" t="s">
        <v>2</v>
      </c>
      <c r="D28" s="76" t="s">
        <v>3</v>
      </c>
      <c r="E28" s="76" t="s">
        <v>4</v>
      </c>
      <c r="F28" s="76" t="s">
        <v>5</v>
      </c>
    </row>
    <row r="29" spans="1:6">
      <c r="A29" s="74" t="s">
        <v>11</v>
      </c>
      <c r="B29" s="78">
        <f>B18</f>
        <v>0</v>
      </c>
      <c r="C29" s="78">
        <f>Aquicultura!I16</f>
        <v>0</v>
      </c>
      <c r="D29" s="78">
        <f>Indústria!I49</f>
        <v>0</v>
      </c>
      <c r="E29" s="78">
        <f>Irrigação!I31</f>
        <v>44150.400000000001</v>
      </c>
      <c r="F29" s="78">
        <f>Termoelétrica!I22</f>
        <v>0</v>
      </c>
    </row>
    <row r="30" spans="1:6">
      <c r="A30" s="74" t="s">
        <v>12</v>
      </c>
      <c r="B30" s="78">
        <f t="shared" ref="B30:B34" si="0">B19</f>
        <v>0</v>
      </c>
      <c r="C30" s="78">
        <f>Aquicultura!I17</f>
        <v>0</v>
      </c>
      <c r="D30" s="78">
        <f>Indústria!I50</f>
        <v>0</v>
      </c>
      <c r="E30" s="78">
        <f>Irrigação!I32</f>
        <v>44150.400000000001</v>
      </c>
      <c r="F30" s="78">
        <f>Termoelétrica!I23</f>
        <v>0</v>
      </c>
    </row>
    <row r="31" spans="1:6">
      <c r="A31" s="74" t="s">
        <v>13</v>
      </c>
      <c r="B31" s="78">
        <f t="shared" si="0"/>
        <v>0</v>
      </c>
      <c r="C31" s="78">
        <f>Aquicultura!I18</f>
        <v>0</v>
      </c>
      <c r="D31" s="78">
        <f>Indústria!I51</f>
        <v>0</v>
      </c>
      <c r="E31" s="78">
        <f>Irrigação!I33</f>
        <v>353203.20000000001</v>
      </c>
      <c r="F31" s="78">
        <f>Termoelétrica!I24</f>
        <v>0</v>
      </c>
    </row>
    <row r="32" spans="1:6">
      <c r="A32" s="74" t="s">
        <v>14</v>
      </c>
      <c r="B32" s="78">
        <f t="shared" si="0"/>
        <v>29809043.353584114</v>
      </c>
      <c r="C32" s="78">
        <f>Aquicultura!I19</f>
        <v>0</v>
      </c>
      <c r="D32" s="78">
        <f>Indústria!I52</f>
        <v>22461982.732799999</v>
      </c>
      <c r="E32" s="78">
        <f>Irrigação!I34</f>
        <v>618105.60000000009</v>
      </c>
      <c r="F32" s="78">
        <f>SUM(Termoelétrica!I25:I33)</f>
        <v>66524496.438484788</v>
      </c>
    </row>
    <row r="33" spans="1:6">
      <c r="A33" s="74" t="s">
        <v>15</v>
      </c>
      <c r="B33" s="78">
        <f t="shared" si="0"/>
        <v>58171.276800000014</v>
      </c>
      <c r="C33" s="78">
        <f>Aquicultura!I20+Aquicultura!I21+Aquicultura!I22</f>
        <v>4110454.2720000003</v>
      </c>
      <c r="D33" s="78">
        <f>Indústria!I53</f>
        <v>0</v>
      </c>
      <c r="E33" s="78">
        <f>Irrigação!I35</f>
        <v>176601.60000000001</v>
      </c>
      <c r="F33" s="78">
        <f>Termoelétrica!I34</f>
        <v>0</v>
      </c>
    </row>
    <row r="34" spans="1:6">
      <c r="A34" s="74" t="s">
        <v>16</v>
      </c>
      <c r="B34" s="78">
        <f t="shared" si="0"/>
        <v>865726.18239034084</v>
      </c>
      <c r="C34" s="78">
        <f>Aquicultura!I23</f>
        <v>0</v>
      </c>
      <c r="D34" s="78">
        <f>Indústria!I54</f>
        <v>18202.5792</v>
      </c>
      <c r="E34" s="78">
        <f>Irrigação!I36</f>
        <v>176601.60000000001</v>
      </c>
      <c r="F34" s="78">
        <f>Termoelétrica!I35</f>
        <v>0</v>
      </c>
    </row>
  </sheetData>
  <mergeCells count="8">
    <mergeCell ref="A27:A28"/>
    <mergeCell ref="B27:F27"/>
    <mergeCell ref="B5:F5"/>
    <mergeCell ref="A5:A6"/>
    <mergeCell ref="I1:K1"/>
    <mergeCell ref="A16:A17"/>
    <mergeCell ref="B16:F16"/>
    <mergeCell ref="A1:F1"/>
  </mergeCell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1A572-EDE3-41DE-BE5B-CDEF7D94DD1A}">
  <dimension ref="A1:T50"/>
  <sheetViews>
    <sheetView tabSelected="1" topLeftCell="E10" zoomScale="85" zoomScaleNormal="85" workbookViewId="0">
      <selection activeCell="L41" sqref="L41:M41"/>
    </sheetView>
  </sheetViews>
  <sheetFormatPr defaultColWidth="9.125" defaultRowHeight="12"/>
  <cols>
    <col min="1" max="1" width="18.75" style="8" bestFit="1" customWidth="1"/>
    <col min="2" max="2" width="14.75" style="11" customWidth="1"/>
    <col min="3" max="3" width="14.125" style="11" bestFit="1" customWidth="1"/>
    <col min="4" max="4" width="9.875" style="11" bestFit="1" customWidth="1"/>
    <col min="5" max="5" width="10.125" style="11" bestFit="1" customWidth="1"/>
    <col min="6" max="6" width="13.75" style="11" bestFit="1" customWidth="1"/>
    <col min="7" max="7" width="1.625" style="8" customWidth="1"/>
    <col min="8" max="8" width="18.75" style="8" bestFit="1" customWidth="1"/>
    <col min="9" max="9" width="15.875" style="8" bestFit="1" customWidth="1"/>
    <col min="10" max="10" width="13.875" style="8" bestFit="1" customWidth="1"/>
    <col min="11" max="11" width="10" style="8" bestFit="1" customWidth="1"/>
    <col min="12" max="12" width="10.625" style="8" bestFit="1" customWidth="1"/>
    <col min="13" max="13" width="14.125" style="8" bestFit="1" customWidth="1"/>
    <col min="14" max="14" width="1.375" style="8" customWidth="1"/>
    <col min="15" max="15" width="17.25" style="8" customWidth="1"/>
    <col min="16" max="16" width="15.875" style="8" bestFit="1" customWidth="1"/>
    <col min="17" max="17" width="13.875" style="8" bestFit="1" customWidth="1"/>
    <col min="18" max="18" width="10" style="8" bestFit="1" customWidth="1"/>
    <col min="19" max="19" width="10.625" style="8" bestFit="1" customWidth="1"/>
    <col min="20" max="20" width="14.125" style="8" bestFit="1" customWidth="1"/>
    <col min="21" max="16384" width="9.125" style="8"/>
  </cols>
  <sheetData>
    <row r="1" spans="1:20">
      <c r="A1" s="143" t="s">
        <v>75</v>
      </c>
      <c r="B1" s="143"/>
      <c r="C1" s="143"/>
      <c r="D1" s="143"/>
      <c r="E1" s="143"/>
      <c r="F1" s="143"/>
      <c r="G1" s="143"/>
      <c r="H1" s="143"/>
      <c r="I1" s="143"/>
      <c r="J1" s="143"/>
      <c r="K1" s="143"/>
      <c r="L1" s="143"/>
      <c r="M1" s="143"/>
      <c r="N1" s="143"/>
      <c r="O1" s="143"/>
      <c r="P1" s="143"/>
      <c r="Q1" s="143"/>
      <c r="R1" s="143"/>
      <c r="S1" s="143"/>
      <c r="T1" s="143"/>
    </row>
    <row r="2" spans="1:20" ht="7.5" customHeight="1" thickBot="1"/>
    <row r="3" spans="1:20" ht="15" customHeight="1">
      <c r="A3" s="54" t="s">
        <v>72</v>
      </c>
      <c r="B3" s="144" t="s">
        <v>78</v>
      </c>
      <c r="C3" s="145"/>
      <c r="D3" s="145"/>
      <c r="E3" s="145"/>
      <c r="F3" s="146"/>
      <c r="H3" s="54" t="s">
        <v>72</v>
      </c>
      <c r="I3" s="144" t="s">
        <v>81</v>
      </c>
      <c r="J3" s="145"/>
      <c r="K3" s="145"/>
      <c r="L3" s="145"/>
      <c r="M3" s="146"/>
      <c r="O3" s="54" t="s">
        <v>72</v>
      </c>
      <c r="P3" s="144" t="s">
        <v>84</v>
      </c>
      <c r="Q3" s="145"/>
      <c r="R3" s="145"/>
      <c r="S3" s="145"/>
      <c r="T3" s="146"/>
    </row>
    <row r="4" spans="1:20">
      <c r="A4" s="55" t="s">
        <v>73</v>
      </c>
      <c r="B4" s="147">
        <f>'Cenário A.1.1'!C4</f>
        <v>6.5949999999999995E-2</v>
      </c>
      <c r="C4" s="148"/>
      <c r="D4" s="148"/>
      <c r="E4" s="148"/>
      <c r="F4" s="149"/>
      <c r="H4" s="55" t="s">
        <v>73</v>
      </c>
      <c r="I4" s="147">
        <f>'Base Cenários'!J2</f>
        <v>6.5949999999999995E-2</v>
      </c>
      <c r="J4" s="148"/>
      <c r="K4" s="148"/>
      <c r="L4" s="148"/>
      <c r="M4" s="149"/>
      <c r="O4" s="55" t="s">
        <v>73</v>
      </c>
      <c r="P4" s="147">
        <f>'Base Cenários'!J2</f>
        <v>6.5949999999999995E-2</v>
      </c>
      <c r="Q4" s="148"/>
      <c r="R4" s="148"/>
      <c r="S4" s="148"/>
      <c r="T4" s="149"/>
    </row>
    <row r="5" spans="1:20">
      <c r="A5" s="55" t="s">
        <v>74</v>
      </c>
      <c r="B5" s="147" t="str">
        <f>'Base Cenários'!B3</f>
        <v>Processos de outorga outorgados</v>
      </c>
      <c r="C5" s="148"/>
      <c r="D5" s="148"/>
      <c r="E5" s="148"/>
      <c r="F5" s="149"/>
      <c r="H5" s="55" t="s">
        <v>74</v>
      </c>
      <c r="I5" s="147" t="str">
        <f>'Base Cenários'!B14</f>
        <v>Processos de outorga em análise e outorgados</v>
      </c>
      <c r="J5" s="148"/>
      <c r="K5" s="148"/>
      <c r="L5" s="148"/>
      <c r="M5" s="149"/>
      <c r="O5" s="55" t="s">
        <v>74</v>
      </c>
      <c r="P5" s="147" t="str">
        <f>'Base Cenários'!B25</f>
        <v>Maiores demandas hídricas</v>
      </c>
      <c r="Q5" s="148"/>
      <c r="R5" s="148"/>
      <c r="S5" s="148"/>
      <c r="T5" s="149"/>
    </row>
    <row r="6" spans="1:20" ht="7.5" customHeight="1">
      <c r="A6" s="48"/>
      <c r="F6" s="56"/>
      <c r="H6" s="48"/>
      <c r="I6" s="11"/>
      <c r="J6" s="11"/>
      <c r="K6" s="11"/>
      <c r="L6" s="11"/>
      <c r="M6" s="56"/>
      <c r="O6" s="48"/>
      <c r="P6" s="11"/>
      <c r="Q6" s="11"/>
      <c r="R6" s="11"/>
      <c r="S6" s="11"/>
      <c r="T6" s="56"/>
    </row>
    <row r="7" spans="1:20">
      <c r="A7" s="150" t="s">
        <v>49</v>
      </c>
      <c r="B7" s="151"/>
      <c r="C7" s="151"/>
      <c r="D7" s="151"/>
      <c r="E7" s="151"/>
      <c r="F7" s="152"/>
      <c r="H7" s="150" t="s">
        <v>49</v>
      </c>
      <c r="I7" s="151"/>
      <c r="J7" s="151"/>
      <c r="K7" s="151"/>
      <c r="L7" s="151"/>
      <c r="M7" s="152"/>
      <c r="O7" s="150" t="s">
        <v>49</v>
      </c>
      <c r="P7" s="151"/>
      <c r="Q7" s="151"/>
      <c r="R7" s="151"/>
      <c r="S7" s="151"/>
      <c r="T7" s="152"/>
    </row>
    <row r="8" spans="1:20">
      <c r="A8" s="153" t="s">
        <v>47</v>
      </c>
      <c r="B8" s="35" t="s">
        <v>1</v>
      </c>
      <c r="C8" s="35" t="s">
        <v>2</v>
      </c>
      <c r="D8" s="35" t="s">
        <v>3</v>
      </c>
      <c r="E8" s="35" t="s">
        <v>4</v>
      </c>
      <c r="F8" s="47" t="s">
        <v>5</v>
      </c>
      <c r="H8" s="153" t="s">
        <v>47</v>
      </c>
      <c r="I8" s="35" t="s">
        <v>1</v>
      </c>
      <c r="J8" s="35" t="s">
        <v>2</v>
      </c>
      <c r="K8" s="35" t="s">
        <v>3</v>
      </c>
      <c r="L8" s="35" t="s">
        <v>4</v>
      </c>
      <c r="M8" s="47" t="s">
        <v>5</v>
      </c>
      <c r="O8" s="153" t="s">
        <v>47</v>
      </c>
      <c r="P8" s="35" t="s">
        <v>1</v>
      </c>
      <c r="Q8" s="35" t="s">
        <v>2</v>
      </c>
      <c r="R8" s="35" t="s">
        <v>3</v>
      </c>
      <c r="S8" s="35" t="s">
        <v>4</v>
      </c>
      <c r="T8" s="47" t="s">
        <v>5</v>
      </c>
    </row>
    <row r="9" spans="1:20">
      <c r="A9" s="154"/>
      <c r="B9" s="155" t="s">
        <v>50</v>
      </c>
      <c r="C9" s="155"/>
      <c r="D9" s="155"/>
      <c r="E9" s="155"/>
      <c r="F9" s="156"/>
      <c r="H9" s="154"/>
      <c r="I9" s="155" t="s">
        <v>50</v>
      </c>
      <c r="J9" s="155"/>
      <c r="K9" s="155"/>
      <c r="L9" s="155"/>
      <c r="M9" s="156"/>
      <c r="O9" s="154"/>
      <c r="P9" s="155" t="s">
        <v>50</v>
      </c>
      <c r="Q9" s="155"/>
      <c r="R9" s="155"/>
      <c r="S9" s="155"/>
      <c r="T9" s="156"/>
    </row>
    <row r="10" spans="1:20">
      <c r="A10" s="48" t="s">
        <v>11</v>
      </c>
      <c r="B10" s="50">
        <f>'Cenário A.1.1'!I9</f>
        <v>0</v>
      </c>
      <c r="C10" s="50">
        <f>'Cenário A.1.1'!J9</f>
        <v>0</v>
      </c>
      <c r="D10" s="50">
        <f>'Cenário A.1.1'!K9</f>
        <v>0</v>
      </c>
      <c r="E10" s="50">
        <f>'Cenário A.1.1'!L9</f>
        <v>0</v>
      </c>
      <c r="F10" s="51">
        <f>'Cenário A.1.1'!M9</f>
        <v>0</v>
      </c>
      <c r="H10" s="48" t="s">
        <v>11</v>
      </c>
      <c r="I10" s="50">
        <f>'Cenário A.2.1'!I9</f>
        <v>0</v>
      </c>
      <c r="J10" s="50">
        <f>'Cenário A.2.1'!J9</f>
        <v>0</v>
      </c>
      <c r="K10" s="50">
        <f>'Cenário A.2.1'!K9</f>
        <v>0</v>
      </c>
      <c r="L10" s="50">
        <f>'Cenário A.2.1'!L9</f>
        <v>0</v>
      </c>
      <c r="M10" s="51">
        <f>'Cenário A.2.1'!M9</f>
        <v>0</v>
      </c>
      <c r="O10" s="48" t="s">
        <v>11</v>
      </c>
      <c r="P10" s="50">
        <f>'Cenário A.3.1'!I9</f>
        <v>0</v>
      </c>
      <c r="Q10" s="50">
        <f>'Cenário A.3.1'!J9</f>
        <v>0</v>
      </c>
      <c r="R10" s="50">
        <f>'Cenário A.3.1'!K9</f>
        <v>0</v>
      </c>
      <c r="S10" s="50">
        <f>'Cenário A.3.1'!L9</f>
        <v>1.9722721269741284E-4</v>
      </c>
      <c r="T10" s="51">
        <f>'Cenário A.3.1'!M9</f>
        <v>0</v>
      </c>
    </row>
    <row r="11" spans="1:20">
      <c r="A11" s="48" t="s">
        <v>12</v>
      </c>
      <c r="B11" s="50">
        <f>'Cenário A.1.1'!I10</f>
        <v>0</v>
      </c>
      <c r="C11" s="50">
        <f>'Cenário A.1.1'!J10</f>
        <v>0</v>
      </c>
      <c r="D11" s="50">
        <f>'Cenário A.1.1'!K10</f>
        <v>0</v>
      </c>
      <c r="E11" s="50">
        <f>'Cenário A.1.1'!L10</f>
        <v>0</v>
      </c>
      <c r="F11" s="51">
        <f>'Cenário A.1.1'!M10</f>
        <v>0</v>
      </c>
      <c r="H11" s="48" t="s">
        <v>12</v>
      </c>
      <c r="I11" s="50">
        <f>'Cenário A.2.1'!I10</f>
        <v>0</v>
      </c>
      <c r="J11" s="50">
        <f>'Cenário A.2.1'!J10</f>
        <v>0</v>
      </c>
      <c r="K11" s="50">
        <f>'Cenário A.2.1'!K10</f>
        <v>0</v>
      </c>
      <c r="L11" s="50">
        <f>'Cenário A.2.1'!L10</f>
        <v>0</v>
      </c>
      <c r="M11" s="51">
        <f>'Cenário A.2.1'!M10</f>
        <v>0</v>
      </c>
      <c r="O11" s="48" t="s">
        <v>12</v>
      </c>
      <c r="P11" s="50">
        <f>'Cenário A.3.1'!I10</f>
        <v>0</v>
      </c>
      <c r="Q11" s="50">
        <f>'Cenário A.3.1'!J10</f>
        <v>0</v>
      </c>
      <c r="R11" s="50">
        <f>'Cenário A.3.1'!K10</f>
        <v>0</v>
      </c>
      <c r="S11" s="50">
        <f>'Cenário A.3.1'!L10</f>
        <v>1.9517870689003561E-4</v>
      </c>
      <c r="T11" s="51">
        <f>'Cenário A.3.1'!M10</f>
        <v>0</v>
      </c>
    </row>
    <row r="12" spans="1:20">
      <c r="A12" s="48" t="s">
        <v>13</v>
      </c>
      <c r="B12" s="50">
        <f>'Cenário A.1.1'!I11</f>
        <v>0</v>
      </c>
      <c r="C12" s="50">
        <f>'Cenário A.1.1'!J11</f>
        <v>0</v>
      </c>
      <c r="D12" s="50">
        <f>'Cenário A.1.1'!K11</f>
        <v>0</v>
      </c>
      <c r="E12" s="50">
        <f>'Cenário A.1.1'!L11</f>
        <v>0</v>
      </c>
      <c r="F12" s="51">
        <f>'Cenário A.1.1'!M11</f>
        <v>0</v>
      </c>
      <c r="H12" s="48" t="s">
        <v>13</v>
      </c>
      <c r="I12" s="50">
        <f>'Cenário A.2.1'!I11</f>
        <v>0</v>
      </c>
      <c r="J12" s="50">
        <f>'Cenário A.2.1'!J11</f>
        <v>0</v>
      </c>
      <c r="K12" s="50">
        <f>'Cenário A.2.1'!K11</f>
        <v>0</v>
      </c>
      <c r="L12" s="50">
        <f>'Cenário A.2.1'!L11</f>
        <v>0</v>
      </c>
      <c r="M12" s="51">
        <f>'Cenário A.2.1'!M11</f>
        <v>0</v>
      </c>
      <c r="O12" s="48" t="s">
        <v>13</v>
      </c>
      <c r="P12" s="50">
        <f>'Cenário A.3.1'!I11</f>
        <v>0</v>
      </c>
      <c r="Q12" s="50">
        <f>'Cenário A.3.1'!J11</f>
        <v>0</v>
      </c>
      <c r="R12" s="50">
        <f>'Cenário A.3.1'!K11</f>
        <v>0</v>
      </c>
      <c r="S12" s="50">
        <f>'Cenário A.3.1'!L11</f>
        <v>9.8772809843093289E-4</v>
      </c>
      <c r="T12" s="51">
        <f>'Cenário A.3.1'!M11</f>
        <v>0</v>
      </c>
    </row>
    <row r="13" spans="1:20">
      <c r="A13" s="48" t="s">
        <v>14</v>
      </c>
      <c r="B13" s="50">
        <f>'Cenário A.1.1'!I12</f>
        <v>2.1046396313907957E-2</v>
      </c>
      <c r="C13" s="50">
        <f>'Cenário A.1.1'!J12</f>
        <v>0</v>
      </c>
      <c r="D13" s="50">
        <f>'Cenário A.1.1'!K12</f>
        <v>1.1121436235088692E-4</v>
      </c>
      <c r="E13" s="50">
        <f>'Cenário A.1.1'!L12</f>
        <v>0</v>
      </c>
      <c r="F13" s="51">
        <f>'Cenário A.1.1'!M12</f>
        <v>1.0635370169550244E-3</v>
      </c>
      <c r="H13" s="48" t="s">
        <v>14</v>
      </c>
      <c r="I13" s="50">
        <f>'Cenário A.2.1'!I12</f>
        <v>2.3127303863737046E-2</v>
      </c>
      <c r="J13" s="50">
        <f>'Cenário A.2.1'!J12</f>
        <v>0</v>
      </c>
      <c r="K13" s="50">
        <f>'Cenário A.2.1'!K12</f>
        <v>1.2180783372818201E-4</v>
      </c>
      <c r="L13" s="50">
        <f>'Cenário A.2.1'!L12</f>
        <v>6.9985478676669538E-6</v>
      </c>
      <c r="M13" s="51">
        <f>'Cenário A.2.1'!M12</f>
        <v>1.5160142518610726E-3</v>
      </c>
      <c r="O13" s="48" t="s">
        <v>14</v>
      </c>
      <c r="P13" s="50">
        <f>'Cenário A.3.1'!I12</f>
        <v>2.3127303863737046E-2</v>
      </c>
      <c r="Q13" s="50">
        <f>'Cenário A.3.1'!J12</f>
        <v>0</v>
      </c>
      <c r="R13" s="50">
        <f>'Cenário A.3.1'!K12</f>
        <v>2.4168441406628835E-4</v>
      </c>
      <c r="S13" s="50">
        <f>'Cenário A.3.1'!L12</f>
        <v>4.8767154005152017E-4</v>
      </c>
      <c r="T13" s="51">
        <f>'Cenário A.3.1'!M12</f>
        <v>1.5160142518610726E-3</v>
      </c>
    </row>
    <row r="14" spans="1:20">
      <c r="A14" s="48" t="s">
        <v>15</v>
      </c>
      <c r="B14" s="50">
        <f>'Cenário A.1.1'!I13</f>
        <v>0</v>
      </c>
      <c r="C14" s="50">
        <f>'Cenário A.1.1'!J13</f>
        <v>0</v>
      </c>
      <c r="D14" s="50">
        <f>'Cenário A.1.1'!K13</f>
        <v>0</v>
      </c>
      <c r="E14" s="50">
        <f>'Cenário A.1.1'!L13</f>
        <v>0</v>
      </c>
      <c r="F14" s="51">
        <f>'Cenário A.1.1'!M13</f>
        <v>0</v>
      </c>
      <c r="H14" s="48" t="s">
        <v>15</v>
      </c>
      <c r="I14" s="50">
        <f>'Cenário A.2.1'!I13</f>
        <v>1.7296446377723599E-3</v>
      </c>
      <c r="J14" s="50">
        <f>'Cenário A.2.1'!J13</f>
        <v>0.19853115691285397</v>
      </c>
      <c r="K14" s="50">
        <f>'Cenário A.2.1'!K13</f>
        <v>0</v>
      </c>
      <c r="L14" s="50">
        <f>'Cenário A.2.1'!L13</f>
        <v>4.1997216147540749E-6</v>
      </c>
      <c r="M14" s="51">
        <f>'Cenário A.2.1'!M13</f>
        <v>0</v>
      </c>
      <c r="O14" s="48" t="s">
        <v>15</v>
      </c>
      <c r="P14" s="50">
        <f>'Cenário A.3.1'!I13</f>
        <v>1.7296446377723599E-3</v>
      </c>
      <c r="Q14" s="50">
        <f>'Cenário A.3.1'!J13</f>
        <v>0.19853115691285397</v>
      </c>
      <c r="R14" s="50">
        <f>'Cenário A.3.1'!K13</f>
        <v>0</v>
      </c>
      <c r="S14" s="50">
        <f>'Cenário A.3.1'!L13</f>
        <v>8.0782202404931086E-5</v>
      </c>
      <c r="T14" s="51">
        <f>'Cenário A.3.1'!M13</f>
        <v>0</v>
      </c>
    </row>
    <row r="15" spans="1:20">
      <c r="A15" s="48" t="s">
        <v>16</v>
      </c>
      <c r="B15" s="50">
        <f>'Cenário A.1.1'!I14</f>
        <v>0</v>
      </c>
      <c r="C15" s="50">
        <f>'Cenário A.1.1'!J14</f>
        <v>0</v>
      </c>
      <c r="D15" s="50">
        <f>'Cenário A.1.1'!K14</f>
        <v>3.8643711189688207E-7</v>
      </c>
      <c r="E15" s="50">
        <f>'Cenário A.1.1'!L14</f>
        <v>0</v>
      </c>
      <c r="F15" s="51">
        <f>'Cenário A.1.1'!M14</f>
        <v>0</v>
      </c>
      <c r="H15" s="48" t="s">
        <v>16</v>
      </c>
      <c r="I15" s="50">
        <f>'Cenário A.2.1'!I14</f>
        <v>1.1582333877670963E-3</v>
      </c>
      <c r="J15" s="50">
        <f>'Cenário A.2.1'!J14</f>
        <v>0</v>
      </c>
      <c r="K15" s="50">
        <f>'Cenário A.2.1'!K14</f>
        <v>9.5719404141586819E-7</v>
      </c>
      <c r="L15" s="50">
        <f>'Cenário A.2.1'!L14</f>
        <v>5.0285622308177222E-5</v>
      </c>
      <c r="M15" s="51">
        <f>'Cenário A.2.1'!M14</f>
        <v>0</v>
      </c>
      <c r="O15" s="48" t="s">
        <v>16</v>
      </c>
      <c r="P15" s="50">
        <f>'Cenário A.3.1'!I14</f>
        <v>1.1582333877670963E-3</v>
      </c>
      <c r="Q15" s="50">
        <f>'Cenário A.3.1'!J14</f>
        <v>0</v>
      </c>
      <c r="R15" s="50">
        <f>'Cenário A.3.1'!K14</f>
        <v>2.5462146184171458E-7</v>
      </c>
      <c r="S15" s="50">
        <f>'Cenário A.3.1'!L14</f>
        <v>7.3930414224273981E-4</v>
      </c>
      <c r="T15" s="51">
        <f>'Cenário A.3.1'!M14</f>
        <v>0</v>
      </c>
    </row>
    <row r="16" spans="1:20" ht="12.75" thickBot="1">
      <c r="A16" s="49" t="s">
        <v>17</v>
      </c>
      <c r="B16" s="52">
        <f>'Cenário A.1.1'!I15</f>
        <v>1.1688761709442545E-2</v>
      </c>
      <c r="C16" s="52">
        <f>'Cenário A.1.1'!J15</f>
        <v>0</v>
      </c>
      <c r="D16" s="52">
        <f>'Cenário A.1.1'!K15</f>
        <v>5.1056586968164097E-5</v>
      </c>
      <c r="E16" s="52">
        <f>'Cenário A.1.1'!L15</f>
        <v>0</v>
      </c>
      <c r="F16" s="53">
        <f>'Cenário A.1.1'!M15</f>
        <v>1.0635370169550244E-3</v>
      </c>
      <c r="H16" s="49" t="s">
        <v>17</v>
      </c>
      <c r="I16" s="52">
        <f>'Cenário A.2.1'!I15</f>
        <v>1.3242556921315853E-2</v>
      </c>
      <c r="J16" s="52">
        <f>'Cenário A.2.1'!J15</f>
        <v>0.17934765405709963</v>
      </c>
      <c r="K16" s="52">
        <f>'Cenário A.2.1'!K15</f>
        <v>5.6107914235842768E-5</v>
      </c>
      <c r="L16" s="52">
        <f>'Cenário A.2.1'!L15</f>
        <v>6.6805991050945362E-6</v>
      </c>
      <c r="M16" s="53">
        <f>'Cenário A.2.1'!M15</f>
        <v>1.5160142518610726E-3</v>
      </c>
      <c r="O16" s="49" t="s">
        <v>17</v>
      </c>
      <c r="P16" s="52">
        <f>'Cenário A.3.1'!I15</f>
        <v>1.3242556921315853E-2</v>
      </c>
      <c r="Q16" s="52">
        <f>'Cenário A.3.1'!J15</f>
        <v>0.17934765405709963</v>
      </c>
      <c r="R16" s="52">
        <f>'Cenário A.3.1'!K15</f>
        <v>1.1074704285493105E-4</v>
      </c>
      <c r="S16" s="52">
        <f>'Cenário A.3.1'!L15</f>
        <v>3.1394895911820633E-4</v>
      </c>
      <c r="T16" s="53">
        <f>'Cenário A.3.1'!M15</f>
        <v>1.5160142518610726E-3</v>
      </c>
    </row>
    <row r="17" spans="1:20" ht="6" customHeight="1" thickBot="1">
      <c r="I17" s="11"/>
      <c r="J17" s="11"/>
      <c r="K17" s="11"/>
      <c r="L17" s="11"/>
      <c r="M17" s="11"/>
      <c r="P17" s="11"/>
      <c r="Q17" s="11"/>
      <c r="R17" s="11"/>
      <c r="S17" s="11"/>
      <c r="T17" s="11"/>
    </row>
    <row r="18" spans="1:20" ht="15" customHeight="1">
      <c r="A18" s="54" t="s">
        <v>72</v>
      </c>
      <c r="B18" s="144" t="s">
        <v>79</v>
      </c>
      <c r="C18" s="145"/>
      <c r="D18" s="145"/>
      <c r="E18" s="145"/>
      <c r="F18" s="146"/>
      <c r="H18" s="54" t="s">
        <v>72</v>
      </c>
      <c r="I18" s="144" t="s">
        <v>82</v>
      </c>
      <c r="J18" s="145"/>
      <c r="K18" s="145"/>
      <c r="L18" s="145"/>
      <c r="M18" s="146"/>
      <c r="O18" s="54" t="s">
        <v>72</v>
      </c>
      <c r="P18" s="144" t="s">
        <v>85</v>
      </c>
      <c r="Q18" s="145"/>
      <c r="R18" s="145"/>
      <c r="S18" s="145"/>
      <c r="T18" s="146"/>
    </row>
    <row r="19" spans="1:20">
      <c r="A19" s="55" t="s">
        <v>73</v>
      </c>
      <c r="B19" s="147">
        <f>'Base Cenários'!J3</f>
        <v>8.405E-2</v>
      </c>
      <c r="C19" s="148"/>
      <c r="D19" s="148"/>
      <c r="E19" s="148"/>
      <c r="F19" s="149"/>
      <c r="H19" s="55" t="s">
        <v>73</v>
      </c>
      <c r="I19" s="147">
        <f>'Base Cenários'!J3</f>
        <v>8.405E-2</v>
      </c>
      <c r="J19" s="148"/>
      <c r="K19" s="148"/>
      <c r="L19" s="148"/>
      <c r="M19" s="149"/>
      <c r="O19" s="55" t="s">
        <v>73</v>
      </c>
      <c r="P19" s="147">
        <f>'Base Cenários'!J3</f>
        <v>8.405E-2</v>
      </c>
      <c r="Q19" s="148"/>
      <c r="R19" s="148"/>
      <c r="S19" s="148"/>
      <c r="T19" s="149"/>
    </row>
    <row r="20" spans="1:20">
      <c r="A20" s="55" t="s">
        <v>74</v>
      </c>
      <c r="B20" s="147" t="str">
        <f>'Base Cenários'!B3</f>
        <v>Processos de outorga outorgados</v>
      </c>
      <c r="C20" s="148"/>
      <c r="D20" s="148"/>
      <c r="E20" s="148"/>
      <c r="F20" s="149"/>
      <c r="H20" s="55" t="s">
        <v>74</v>
      </c>
      <c r="I20" s="147" t="str">
        <f>'Base Cenários'!B14</f>
        <v>Processos de outorga em análise e outorgados</v>
      </c>
      <c r="J20" s="148"/>
      <c r="K20" s="148"/>
      <c r="L20" s="148"/>
      <c r="M20" s="149"/>
      <c r="O20" s="55" t="s">
        <v>74</v>
      </c>
      <c r="P20" s="147" t="str">
        <f>'Base Cenários'!B25</f>
        <v>Maiores demandas hídricas</v>
      </c>
      <c r="Q20" s="148"/>
      <c r="R20" s="148"/>
      <c r="S20" s="148"/>
      <c r="T20" s="149"/>
    </row>
    <row r="21" spans="1:20" ht="5.25" customHeight="1">
      <c r="A21" s="48"/>
      <c r="F21" s="56"/>
      <c r="H21" s="48"/>
      <c r="I21" s="11"/>
      <c r="J21" s="11"/>
      <c r="K21" s="11"/>
      <c r="L21" s="11"/>
      <c r="M21" s="56"/>
      <c r="O21" s="48"/>
      <c r="P21" s="11"/>
      <c r="Q21" s="11"/>
      <c r="R21" s="11"/>
      <c r="S21" s="11"/>
      <c r="T21" s="56"/>
    </row>
    <row r="22" spans="1:20">
      <c r="A22" s="150" t="s">
        <v>49</v>
      </c>
      <c r="B22" s="151"/>
      <c r="C22" s="151"/>
      <c r="D22" s="151"/>
      <c r="E22" s="151"/>
      <c r="F22" s="152"/>
      <c r="H22" s="150" t="s">
        <v>49</v>
      </c>
      <c r="I22" s="151"/>
      <c r="J22" s="151"/>
      <c r="K22" s="151"/>
      <c r="L22" s="151"/>
      <c r="M22" s="152"/>
      <c r="O22" s="150" t="s">
        <v>49</v>
      </c>
      <c r="P22" s="151"/>
      <c r="Q22" s="151"/>
      <c r="R22" s="151"/>
      <c r="S22" s="151"/>
      <c r="T22" s="152"/>
    </row>
    <row r="23" spans="1:20">
      <c r="A23" s="153" t="s">
        <v>47</v>
      </c>
      <c r="B23" s="35" t="s">
        <v>1</v>
      </c>
      <c r="C23" s="35" t="s">
        <v>2</v>
      </c>
      <c r="D23" s="35" t="s">
        <v>3</v>
      </c>
      <c r="E23" s="35" t="s">
        <v>4</v>
      </c>
      <c r="F23" s="47" t="s">
        <v>5</v>
      </c>
      <c r="H23" s="153" t="s">
        <v>47</v>
      </c>
      <c r="I23" s="35" t="s">
        <v>1</v>
      </c>
      <c r="J23" s="35" t="s">
        <v>2</v>
      </c>
      <c r="K23" s="35" t="s">
        <v>3</v>
      </c>
      <c r="L23" s="35" t="s">
        <v>4</v>
      </c>
      <c r="M23" s="47" t="s">
        <v>5</v>
      </c>
      <c r="O23" s="153" t="s">
        <v>47</v>
      </c>
      <c r="P23" s="35" t="s">
        <v>1</v>
      </c>
      <c r="Q23" s="35" t="s">
        <v>2</v>
      </c>
      <c r="R23" s="35" t="s">
        <v>3</v>
      </c>
      <c r="S23" s="35" t="s">
        <v>4</v>
      </c>
      <c r="T23" s="47" t="s">
        <v>5</v>
      </c>
    </row>
    <row r="24" spans="1:20">
      <c r="A24" s="154"/>
      <c r="B24" s="155" t="s">
        <v>50</v>
      </c>
      <c r="C24" s="155"/>
      <c r="D24" s="155"/>
      <c r="E24" s="155"/>
      <c r="F24" s="156"/>
      <c r="H24" s="154"/>
      <c r="I24" s="155" t="s">
        <v>50</v>
      </c>
      <c r="J24" s="155"/>
      <c r="K24" s="155"/>
      <c r="L24" s="155"/>
      <c r="M24" s="156"/>
      <c r="O24" s="154"/>
      <c r="P24" s="155" t="s">
        <v>50</v>
      </c>
      <c r="Q24" s="155"/>
      <c r="R24" s="155"/>
      <c r="S24" s="155"/>
      <c r="T24" s="156"/>
    </row>
    <row r="25" spans="1:20">
      <c r="A25" s="48" t="s">
        <v>11</v>
      </c>
      <c r="B25" s="50">
        <f>'Cenário A.1.2'!I9</f>
        <v>0</v>
      </c>
      <c r="C25" s="50">
        <f>'Cenário A.1.2'!J9</f>
        <v>0</v>
      </c>
      <c r="D25" s="50">
        <f>'Cenário A.1.2'!K9</f>
        <v>0</v>
      </c>
      <c r="E25" s="50">
        <f>'Cenário A.1.2'!L9</f>
        <v>0</v>
      </c>
      <c r="F25" s="51">
        <f>'Cenário A.1.2'!M9</f>
        <v>0</v>
      </c>
      <c r="H25" s="48" t="s">
        <v>11</v>
      </c>
      <c r="I25" s="50">
        <f>'Cenário A.2.2'!I9</f>
        <v>0</v>
      </c>
      <c r="J25" s="50">
        <f>'Cenário A.2.2'!J9</f>
        <v>0</v>
      </c>
      <c r="K25" s="50">
        <f>'Cenário A.2.2'!K9</f>
        <v>0</v>
      </c>
      <c r="L25" s="50">
        <f>'Cenário A.2.2'!L9</f>
        <v>0</v>
      </c>
      <c r="M25" s="51">
        <f>'Cenário A.2.2'!M9</f>
        <v>0</v>
      </c>
      <c r="O25" s="48" t="s">
        <v>11</v>
      </c>
      <c r="P25" s="50">
        <f>'Cenário A.3.2'!I9</f>
        <v>0</v>
      </c>
      <c r="Q25" s="50">
        <f>'Cenário A.3.2'!J9</f>
        <v>0</v>
      </c>
      <c r="R25" s="50">
        <f>'Cenário A.3.2'!K9</f>
        <v>0</v>
      </c>
      <c r="S25" s="50">
        <f>'Cenário A.3.2'!L9</f>
        <v>2.5135628850974295E-4</v>
      </c>
      <c r="T25" s="51">
        <f>'Cenário A.3.2'!M9</f>
        <v>0</v>
      </c>
    </row>
    <row r="26" spans="1:20">
      <c r="A26" s="48" t="s">
        <v>12</v>
      </c>
      <c r="B26" s="50">
        <f>'Cenário A.1.2'!I10</f>
        <v>0</v>
      </c>
      <c r="C26" s="50">
        <f>'Cenário A.1.2'!J10</f>
        <v>0</v>
      </c>
      <c r="D26" s="50">
        <f>'Cenário A.1.2'!K10</f>
        <v>0</v>
      </c>
      <c r="E26" s="50">
        <f>'Cenário A.1.2'!L10</f>
        <v>0</v>
      </c>
      <c r="F26" s="51">
        <f>'Cenário A.1.2'!M10</f>
        <v>0</v>
      </c>
      <c r="H26" s="48" t="s">
        <v>12</v>
      </c>
      <c r="I26" s="50">
        <f>'Cenário A.2.2'!I10</f>
        <v>0</v>
      </c>
      <c r="J26" s="50">
        <f>'Cenário A.2.2'!J10</f>
        <v>0</v>
      </c>
      <c r="K26" s="50">
        <f>'Cenário A.2.2'!K10</f>
        <v>0</v>
      </c>
      <c r="L26" s="50">
        <f>'Cenário A.2.2'!L10</f>
        <v>0</v>
      </c>
      <c r="M26" s="51">
        <f>'Cenário A.2.2'!M10</f>
        <v>0</v>
      </c>
      <c r="O26" s="48" t="s">
        <v>12</v>
      </c>
      <c r="P26" s="50">
        <f>'Cenário A.3.2'!I10</f>
        <v>0</v>
      </c>
      <c r="Q26" s="50">
        <f>'Cenário A.3.2'!J10</f>
        <v>0</v>
      </c>
      <c r="R26" s="50">
        <f>'Cenário A.3.2'!K10</f>
        <v>0</v>
      </c>
      <c r="S26" s="50">
        <f>'Cenário A.3.2'!L10</f>
        <v>2.4874556958464738E-4</v>
      </c>
      <c r="T26" s="51">
        <f>'Cenário A.3.2'!M10</f>
        <v>0</v>
      </c>
    </row>
    <row r="27" spans="1:20">
      <c r="A27" s="48" t="s">
        <v>13</v>
      </c>
      <c r="B27" s="50">
        <f>'Cenário A.1.2'!I11</f>
        <v>0</v>
      </c>
      <c r="C27" s="50">
        <f>'Cenário A.1.2'!J11</f>
        <v>0</v>
      </c>
      <c r="D27" s="50">
        <f>'Cenário A.1.2'!K11</f>
        <v>0</v>
      </c>
      <c r="E27" s="50">
        <f>'Cenário A.1.2'!L11</f>
        <v>0</v>
      </c>
      <c r="F27" s="51">
        <f>'Cenário A.1.2'!M11</f>
        <v>0</v>
      </c>
      <c r="H27" s="48" t="s">
        <v>13</v>
      </c>
      <c r="I27" s="50">
        <f>'Cenário A.2.2'!I11</f>
        <v>0</v>
      </c>
      <c r="J27" s="50">
        <f>'Cenário A.2.2'!J11</f>
        <v>0</v>
      </c>
      <c r="K27" s="50">
        <f>'Cenário A.2.2'!K11</f>
        <v>0</v>
      </c>
      <c r="L27" s="50">
        <f>'Cenário A.2.2'!L11</f>
        <v>0</v>
      </c>
      <c r="M27" s="51">
        <f>'Cenário A.2.2'!M11</f>
        <v>0</v>
      </c>
      <c r="O27" s="48" t="s">
        <v>13</v>
      </c>
      <c r="P27" s="50">
        <f>'Cenário A.3.2'!I11</f>
        <v>0</v>
      </c>
      <c r="Q27" s="50">
        <f>'Cenário A.3.2'!J11</f>
        <v>0</v>
      </c>
      <c r="R27" s="50">
        <f>'Cenário A.3.2'!K11</f>
        <v>0</v>
      </c>
      <c r="S27" s="50">
        <f>'Cenário A.3.2'!L11</f>
        <v>1.258810412026079E-3</v>
      </c>
      <c r="T27" s="51">
        <f>'Cenário A.3.2'!M11</f>
        <v>0</v>
      </c>
    </row>
    <row r="28" spans="1:20">
      <c r="A28" s="48" t="s">
        <v>14</v>
      </c>
      <c r="B28" s="50">
        <f>'Cenário A.1.2'!I12</f>
        <v>2.6822586962607493E-2</v>
      </c>
      <c r="C28" s="50">
        <f>'Cenário A.1.2'!J12</f>
        <v>0</v>
      </c>
      <c r="D28" s="50">
        <f>'Cenário A.1.2'!K12</f>
        <v>1.417371820408195E-4</v>
      </c>
      <c r="E28" s="50">
        <f>'Cenário A.1.2'!L12</f>
        <v>0</v>
      </c>
      <c r="F28" s="51">
        <f>'Cenário A.1.2'!M12</f>
        <v>1.3554251141026509E-3</v>
      </c>
      <c r="H28" s="48" t="s">
        <v>14</v>
      </c>
      <c r="I28" s="50">
        <f>'Cenário A.2.2'!I12</f>
        <v>2.9474600299425304E-2</v>
      </c>
      <c r="J28" s="50">
        <f>'Cenário A.2.2'!J12</f>
        <v>0</v>
      </c>
      <c r="K28" s="50">
        <f>'Cenário A.2.2'!K12</f>
        <v>1.5523803525176191E-4</v>
      </c>
      <c r="L28" s="50">
        <f>'Cenário A.2.2'!L12</f>
        <v>8.9193017176255885E-6</v>
      </c>
      <c r="M28" s="51">
        <f>'Cenário A.2.2'!M12</f>
        <v>1.9320848804992138E-3</v>
      </c>
      <c r="O28" s="48" t="s">
        <v>14</v>
      </c>
      <c r="P28" s="50">
        <f>'Cenário A.3.2'!I12</f>
        <v>2.9474600299425304E-2</v>
      </c>
      <c r="Q28" s="50">
        <f>'Cenário A.3.2'!J12</f>
        <v>0</v>
      </c>
      <c r="R28" s="50">
        <f>'Cenário A.3.2'!K12</f>
        <v>3.0801478396166095E-4</v>
      </c>
      <c r="S28" s="50">
        <f>'Cenário A.3.2'!L12</f>
        <v>6.2151316059636495E-4</v>
      </c>
      <c r="T28" s="51">
        <f>'Cenário A.3.2'!M12</f>
        <v>1.9320848804992138E-3</v>
      </c>
    </row>
    <row r="29" spans="1:20">
      <c r="A29" s="48" t="s">
        <v>15</v>
      </c>
      <c r="B29" s="50">
        <f>'Cenário A.1.2'!I13</f>
        <v>0</v>
      </c>
      <c r="C29" s="50">
        <f>'Cenário A.1.2'!J13</f>
        <v>0</v>
      </c>
      <c r="D29" s="50">
        <f>'Cenário A.1.2'!K13</f>
        <v>0</v>
      </c>
      <c r="E29" s="50">
        <f>'Cenário A.1.2'!L13</f>
        <v>0</v>
      </c>
      <c r="F29" s="51">
        <f>'Cenário A.1.2'!M13</f>
        <v>0</v>
      </c>
      <c r="H29" s="48" t="s">
        <v>15</v>
      </c>
      <c r="I29" s="50">
        <f>'Cenário A.2.2'!I13</f>
        <v>2.2043461987076097E-3</v>
      </c>
      <c r="J29" s="50">
        <f>'Cenário A.2.2'!J13</f>
        <v>0.25301810065997543</v>
      </c>
      <c r="K29" s="50">
        <f>'Cenário A.2.2'!K13</f>
        <v>0</v>
      </c>
      <c r="L29" s="50">
        <f>'Cenário A.2.2'!L13</f>
        <v>5.352336644732071E-6</v>
      </c>
      <c r="M29" s="51">
        <f>'Cenário A.2.2'!M13</f>
        <v>0</v>
      </c>
      <c r="O29" s="48" t="s">
        <v>15</v>
      </c>
      <c r="P29" s="50">
        <f>'Cenário A.3.2'!I13</f>
        <v>2.2043461987076097E-3</v>
      </c>
      <c r="Q29" s="50">
        <f>'Cenário A.3.2'!J13</f>
        <v>0.25301810065997543</v>
      </c>
      <c r="R29" s="50">
        <f>'Cenário A.3.2'!K13</f>
        <v>0</v>
      </c>
      <c r="S29" s="50">
        <f>'Cenário A.3.2'!L13</f>
        <v>1.029529054152306E-4</v>
      </c>
      <c r="T29" s="51">
        <f>'Cenário A.3.2'!M13</f>
        <v>0</v>
      </c>
    </row>
    <row r="30" spans="1:20">
      <c r="A30" s="48" t="s">
        <v>16</v>
      </c>
      <c r="B30" s="50">
        <f>'Cenário A.1.2'!I14</f>
        <v>0</v>
      </c>
      <c r="C30" s="50">
        <f>'Cenário A.1.2'!J14</f>
        <v>0</v>
      </c>
      <c r="D30" s="50">
        <f>'Cenário A.1.2'!K14</f>
        <v>4.9249490909678464E-7</v>
      </c>
      <c r="E30" s="50">
        <f>'Cenário A.1.2'!L14</f>
        <v>0</v>
      </c>
      <c r="F30" s="51">
        <f>'Cenário A.1.2'!M14</f>
        <v>0</v>
      </c>
      <c r="H30" s="48" t="s">
        <v>16</v>
      </c>
      <c r="I30" s="50">
        <f>'Cenário A.2.2'!I14</f>
        <v>1.4761109361914246E-3</v>
      </c>
      <c r="J30" s="50">
        <f>'Cenário A.2.2'!J14</f>
        <v>0</v>
      </c>
      <c r="K30" s="50">
        <f>'Cenário A.2.2'!K14</f>
        <v>1.2198962726460005E-6</v>
      </c>
      <c r="L30" s="50">
        <f>'Cenário A.2.2'!L14</f>
        <v>6.4086528506479082E-5</v>
      </c>
      <c r="M30" s="51">
        <f>'Cenário A.2.2'!M14</f>
        <v>0</v>
      </c>
      <c r="O30" s="48" t="s">
        <v>16</v>
      </c>
      <c r="P30" s="50">
        <f>'Cenário A.3.2'!I14</f>
        <v>1.4761109361914246E-3</v>
      </c>
      <c r="Q30" s="50">
        <f>'Cenário A.3.2'!J14</f>
        <v>0</v>
      </c>
      <c r="R30" s="50">
        <f>'Cenário A.3.2'!K14</f>
        <v>3.2450240891275373E-7</v>
      </c>
      <c r="S30" s="50">
        <f>'Cenário A.3.2'!L14</f>
        <v>9.4220641630784357E-4</v>
      </c>
      <c r="T30" s="51">
        <f>'Cenário A.3.2'!M14</f>
        <v>0</v>
      </c>
    </row>
    <row r="31" spans="1:20" ht="12.75" thickBot="1">
      <c r="A31" s="49" t="s">
        <v>17</v>
      </c>
      <c r="B31" s="52">
        <f>'Cenário A.1.2'!I15</f>
        <v>1.4896746348425263E-2</v>
      </c>
      <c r="C31" s="52">
        <f>'Cenário A.1.2'!J15</f>
        <v>0</v>
      </c>
      <c r="D31" s="52">
        <f>'Cenário A.1.2'!K15</f>
        <v>6.5069084680427489E-5</v>
      </c>
      <c r="E31" s="52">
        <f>'Cenário A.1.2'!L15</f>
        <v>0</v>
      </c>
      <c r="F31" s="53">
        <f>'Cenário A.1.2'!M15</f>
        <v>1.3554251141026509E-3</v>
      </c>
      <c r="H31" s="49" t="s">
        <v>17</v>
      </c>
      <c r="I31" s="52">
        <f>'Cenário A.2.2'!I15</f>
        <v>1.6876981186301706E-2</v>
      </c>
      <c r="J31" s="52">
        <f>'Cenário A.2.2'!J15</f>
        <v>0.22856967890067059</v>
      </c>
      <c r="K31" s="52">
        <f>'Cenário A.2.2'!K15</f>
        <v>7.1506750440069518E-5</v>
      </c>
      <c r="L31" s="52">
        <f>'Cenário A.2.2'!L15</f>
        <v>8.5140918086913698E-6</v>
      </c>
      <c r="M31" s="53">
        <f>'Cenário A.2.2'!M15</f>
        <v>1.9320848804992138E-3</v>
      </c>
      <c r="O31" s="49" t="s">
        <v>17</v>
      </c>
      <c r="P31" s="52">
        <f>'Cenário A.3.2'!I15</f>
        <v>1.6876981186301706E-2</v>
      </c>
      <c r="Q31" s="52">
        <f>'Cenário A.3.2'!J15</f>
        <v>0.22856967890067059</v>
      </c>
      <c r="R31" s="52">
        <f>'Cenário A.3.2'!K15</f>
        <v>1.4114160654976431E-4</v>
      </c>
      <c r="S31" s="52">
        <f>'Cenário A.3.2'!L15</f>
        <v>4.0011235805739568E-4</v>
      </c>
      <c r="T31" s="53">
        <f>'Cenário A.3.2'!M15</f>
        <v>1.9320848804992138E-3</v>
      </c>
    </row>
    <row r="32" spans="1:20" ht="6.75" customHeight="1" thickBot="1">
      <c r="I32" s="11"/>
      <c r="J32" s="11"/>
      <c r="K32" s="11"/>
      <c r="L32" s="11"/>
      <c r="M32" s="11"/>
      <c r="P32" s="11"/>
      <c r="Q32" s="11"/>
      <c r="R32" s="11"/>
      <c r="S32" s="11"/>
      <c r="T32" s="11"/>
    </row>
    <row r="33" spans="1:20">
      <c r="A33" s="54" t="s">
        <v>72</v>
      </c>
      <c r="B33" s="144" t="s">
        <v>80</v>
      </c>
      <c r="C33" s="145"/>
      <c r="D33" s="145"/>
      <c r="E33" s="145"/>
      <c r="F33" s="146"/>
      <c r="H33" s="54" t="s">
        <v>72</v>
      </c>
      <c r="I33" s="144" t="s">
        <v>83</v>
      </c>
      <c r="J33" s="145"/>
      <c r="K33" s="145"/>
      <c r="L33" s="145"/>
      <c r="M33" s="146"/>
      <c r="O33" s="54" t="s">
        <v>72</v>
      </c>
      <c r="P33" s="144" t="s">
        <v>86</v>
      </c>
      <c r="Q33" s="145"/>
      <c r="R33" s="145"/>
      <c r="S33" s="145"/>
      <c r="T33" s="146"/>
    </row>
    <row r="34" spans="1:20">
      <c r="A34" s="55" t="s">
        <v>73</v>
      </c>
      <c r="B34" s="147">
        <f>'Base Cenários'!J4</f>
        <v>0.15</v>
      </c>
      <c r="C34" s="148"/>
      <c r="D34" s="148"/>
      <c r="E34" s="148"/>
      <c r="F34" s="149"/>
      <c r="H34" s="55" t="s">
        <v>73</v>
      </c>
      <c r="I34" s="147">
        <f>'Base Cenários'!J4</f>
        <v>0.15</v>
      </c>
      <c r="J34" s="148"/>
      <c r="K34" s="148"/>
      <c r="L34" s="148"/>
      <c r="M34" s="149"/>
      <c r="O34" s="55" t="s">
        <v>73</v>
      </c>
      <c r="P34" s="147">
        <f>'Base Cenários'!J4</f>
        <v>0.15</v>
      </c>
      <c r="Q34" s="148"/>
      <c r="R34" s="148"/>
      <c r="S34" s="148"/>
      <c r="T34" s="149"/>
    </row>
    <row r="35" spans="1:20">
      <c r="A35" s="55" t="s">
        <v>74</v>
      </c>
      <c r="B35" s="147" t="str">
        <f>'Base Cenários'!B3</f>
        <v>Processos de outorga outorgados</v>
      </c>
      <c r="C35" s="148"/>
      <c r="D35" s="148"/>
      <c r="E35" s="148"/>
      <c r="F35" s="149"/>
      <c r="H35" s="55" t="s">
        <v>74</v>
      </c>
      <c r="I35" s="147" t="str">
        <f>'Base Cenários'!B14</f>
        <v>Processos de outorga em análise e outorgados</v>
      </c>
      <c r="J35" s="148"/>
      <c r="K35" s="148"/>
      <c r="L35" s="148"/>
      <c r="M35" s="149"/>
      <c r="O35" s="55" t="s">
        <v>74</v>
      </c>
      <c r="P35" s="147" t="str">
        <f>'Base Cenários'!B25</f>
        <v>Maiores demandas hídricas</v>
      </c>
      <c r="Q35" s="148"/>
      <c r="R35" s="148"/>
      <c r="S35" s="148"/>
      <c r="T35" s="149"/>
    </row>
    <row r="36" spans="1:20" ht="5.25" customHeight="1">
      <c r="A36" s="48"/>
      <c r="F36" s="56"/>
      <c r="H36" s="48"/>
      <c r="I36" s="11"/>
      <c r="J36" s="11"/>
      <c r="K36" s="11"/>
      <c r="L36" s="11"/>
      <c r="M36" s="56"/>
      <c r="O36" s="48"/>
      <c r="P36" s="11"/>
      <c r="Q36" s="11"/>
      <c r="R36" s="11"/>
      <c r="S36" s="11"/>
      <c r="T36" s="56"/>
    </row>
    <row r="37" spans="1:20">
      <c r="A37" s="150" t="s">
        <v>49</v>
      </c>
      <c r="B37" s="151"/>
      <c r="C37" s="151"/>
      <c r="D37" s="151"/>
      <c r="E37" s="151"/>
      <c r="F37" s="152"/>
      <c r="H37" s="150" t="s">
        <v>49</v>
      </c>
      <c r="I37" s="151"/>
      <c r="J37" s="151"/>
      <c r="K37" s="151"/>
      <c r="L37" s="151"/>
      <c r="M37" s="152"/>
      <c r="O37" s="150" t="s">
        <v>49</v>
      </c>
      <c r="P37" s="151"/>
      <c r="Q37" s="151"/>
      <c r="R37" s="151"/>
      <c r="S37" s="151"/>
      <c r="T37" s="152"/>
    </row>
    <row r="38" spans="1:20">
      <c r="A38" s="153" t="s">
        <v>47</v>
      </c>
      <c r="B38" s="35" t="s">
        <v>1</v>
      </c>
      <c r="C38" s="35" t="s">
        <v>2</v>
      </c>
      <c r="D38" s="35" t="s">
        <v>3</v>
      </c>
      <c r="E38" s="35" t="s">
        <v>4</v>
      </c>
      <c r="F38" s="47" t="s">
        <v>5</v>
      </c>
      <c r="H38" s="153" t="s">
        <v>47</v>
      </c>
      <c r="I38" s="35" t="s">
        <v>1</v>
      </c>
      <c r="J38" s="35" t="s">
        <v>2</v>
      </c>
      <c r="K38" s="35" t="s">
        <v>3</v>
      </c>
      <c r="L38" s="35" t="s">
        <v>4</v>
      </c>
      <c r="M38" s="47" t="s">
        <v>5</v>
      </c>
      <c r="O38" s="153" t="s">
        <v>47</v>
      </c>
      <c r="P38" s="35" t="s">
        <v>1</v>
      </c>
      <c r="Q38" s="35" t="s">
        <v>2</v>
      </c>
      <c r="R38" s="35" t="s">
        <v>3</v>
      </c>
      <c r="S38" s="35" t="s">
        <v>4</v>
      </c>
      <c r="T38" s="47" t="s">
        <v>5</v>
      </c>
    </row>
    <row r="39" spans="1:20">
      <c r="A39" s="154"/>
      <c r="B39" s="155" t="s">
        <v>50</v>
      </c>
      <c r="C39" s="155"/>
      <c r="D39" s="155"/>
      <c r="E39" s="155"/>
      <c r="F39" s="156"/>
      <c r="H39" s="154"/>
      <c r="I39" s="155" t="s">
        <v>50</v>
      </c>
      <c r="J39" s="155"/>
      <c r="K39" s="155"/>
      <c r="L39" s="155"/>
      <c r="M39" s="156"/>
      <c r="O39" s="154"/>
      <c r="P39" s="155" t="s">
        <v>50</v>
      </c>
      <c r="Q39" s="155"/>
      <c r="R39" s="155"/>
      <c r="S39" s="155"/>
      <c r="T39" s="156"/>
    </row>
    <row r="40" spans="1:20">
      <c r="A40" s="48" t="s">
        <v>11</v>
      </c>
      <c r="B40" s="50">
        <f>'Cenário A.1.3'!I9</f>
        <v>0</v>
      </c>
      <c r="C40" s="50">
        <f>'Cenário A.1.3'!J9</f>
        <v>0</v>
      </c>
      <c r="D40" s="50">
        <f>'Cenário A.1.3'!K9</f>
        <v>0</v>
      </c>
      <c r="E40" s="50">
        <f>'Cenário A.1.3'!L9</f>
        <v>0</v>
      </c>
      <c r="F40" s="51">
        <f>'Cenário A.1.3'!M9</f>
        <v>0</v>
      </c>
      <c r="H40" s="48" t="s">
        <v>11</v>
      </c>
      <c r="I40" s="50">
        <f>'Cenário A.2.3'!I9</f>
        <v>0</v>
      </c>
      <c r="J40" s="50">
        <f>'Cenário A.2.3'!J9</f>
        <v>0</v>
      </c>
      <c r="K40" s="50">
        <f>'Cenário A.2.3'!K9</f>
        <v>0</v>
      </c>
      <c r="L40" s="50">
        <f>'Cenário A.2.3'!L9</f>
        <v>0</v>
      </c>
      <c r="M40" s="51">
        <f>'Cenário A.2.3'!M9</f>
        <v>0</v>
      </c>
      <c r="O40" s="48" t="s">
        <v>11</v>
      </c>
      <c r="P40" s="50">
        <f>'Cenário A.3.3'!I9</f>
        <v>0</v>
      </c>
      <c r="Q40" s="50">
        <f>'Cenário A.3.3'!J9</f>
        <v>0</v>
      </c>
      <c r="R40" s="50">
        <f>'Cenário A.3.3'!K9</f>
        <v>0</v>
      </c>
      <c r="S40" s="50">
        <f>'Cenário A.3.3'!L9</f>
        <v>4.4858350120715581E-4</v>
      </c>
      <c r="T40" s="51">
        <f>'Cenário A.3.3'!M9</f>
        <v>0</v>
      </c>
    </row>
    <row r="41" spans="1:20">
      <c r="A41" s="48" t="s">
        <v>12</v>
      </c>
      <c r="B41" s="50">
        <f>'Cenário A.1.3'!I10</f>
        <v>0</v>
      </c>
      <c r="C41" s="50">
        <f>'Cenário A.1.3'!J10</f>
        <v>0</v>
      </c>
      <c r="D41" s="50">
        <f>'Cenário A.1.3'!K10</f>
        <v>0</v>
      </c>
      <c r="E41" s="50">
        <f>'Cenário A.1.3'!L10</f>
        <v>0</v>
      </c>
      <c r="F41" s="51">
        <f>'Cenário A.1.3'!M10</f>
        <v>0</v>
      </c>
      <c r="H41" s="48" t="s">
        <v>12</v>
      </c>
      <c r="I41" s="50">
        <f>'Cenário A.2.3'!I10</f>
        <v>0</v>
      </c>
      <c r="J41" s="50">
        <f>'Cenário A.2.3'!J10</f>
        <v>0</v>
      </c>
      <c r="K41" s="50">
        <f>'Cenário A.2.3'!K10</f>
        <v>0</v>
      </c>
      <c r="L41" s="50">
        <f>'Cenário A.2.3'!L10</f>
        <v>0</v>
      </c>
      <c r="M41" s="51">
        <f>'Cenário A.2.3'!M10</f>
        <v>0</v>
      </c>
      <c r="O41" s="48" t="s">
        <v>12</v>
      </c>
      <c r="P41" s="50">
        <f>'Cenário A.3.3'!I10</f>
        <v>0</v>
      </c>
      <c r="Q41" s="50">
        <f>'Cenário A.3.3'!J10</f>
        <v>0</v>
      </c>
      <c r="R41" s="50">
        <f>'Cenário A.3.3'!K10</f>
        <v>0</v>
      </c>
      <c r="S41" s="50">
        <f>'Cenário A.3.3'!L10</f>
        <v>4.4392427647468299E-4</v>
      </c>
      <c r="T41" s="51">
        <f>'Cenário A.3.3'!M10</f>
        <v>0</v>
      </c>
    </row>
    <row r="42" spans="1:20">
      <c r="A42" s="48" t="s">
        <v>13</v>
      </c>
      <c r="B42" s="50">
        <f>'Cenário A.1.3'!I11</f>
        <v>0</v>
      </c>
      <c r="C42" s="50">
        <f>'Cenário A.1.3'!J11</f>
        <v>0</v>
      </c>
      <c r="D42" s="50">
        <f>'Cenário A.1.3'!K11</f>
        <v>0</v>
      </c>
      <c r="E42" s="50">
        <f>'Cenário A.1.3'!L11</f>
        <v>0</v>
      </c>
      <c r="F42" s="51">
        <f>'Cenário A.1.3'!M11</f>
        <v>0</v>
      </c>
      <c r="H42" s="48" t="s">
        <v>13</v>
      </c>
      <c r="I42" s="50">
        <f>'Cenário A.2.3'!I11</f>
        <v>0</v>
      </c>
      <c r="J42" s="50">
        <f>'Cenário A.2.3'!J11</f>
        <v>0</v>
      </c>
      <c r="K42" s="50">
        <f>'Cenário A.2.3'!K11</f>
        <v>0</v>
      </c>
      <c r="L42" s="50">
        <f>'Cenário A.2.3'!L11</f>
        <v>0</v>
      </c>
      <c r="M42" s="51">
        <f>'Cenário A.2.3'!M11</f>
        <v>0</v>
      </c>
      <c r="O42" s="48" t="s">
        <v>13</v>
      </c>
      <c r="P42" s="50">
        <f>'Cenário A.3.3'!I11</f>
        <v>0</v>
      </c>
      <c r="Q42" s="50">
        <f>'Cenário A.3.3'!J11</f>
        <v>0</v>
      </c>
      <c r="R42" s="50">
        <f>'Cenário A.3.3'!K11</f>
        <v>0</v>
      </c>
      <c r="S42" s="50">
        <f>'Cenário A.3.3'!L11</f>
        <v>2.2465385104570119E-3</v>
      </c>
      <c r="T42" s="51">
        <f>'Cenário A.3.3'!M11</f>
        <v>0</v>
      </c>
    </row>
    <row r="43" spans="1:20">
      <c r="A43" s="48" t="s">
        <v>14</v>
      </c>
      <c r="B43" s="50">
        <f>'Cenário A.1.3'!I12</f>
        <v>4.7868983276515446E-2</v>
      </c>
      <c r="C43" s="50">
        <f>'Cenário A.1.3'!J12</f>
        <v>0</v>
      </c>
      <c r="D43" s="50">
        <f>'Cenário A.1.3'!K12</f>
        <v>2.5295154439170637E-4</v>
      </c>
      <c r="E43" s="50">
        <f>'Cenário A.1.3'!L12</f>
        <v>0</v>
      </c>
      <c r="F43" s="51">
        <f>'Cenário A.1.3'!M12</f>
        <v>2.4189621310576753E-3</v>
      </c>
      <c r="H43" s="48" t="s">
        <v>14</v>
      </c>
      <c r="I43" s="50">
        <f>'Cenário A.2.3'!I12</f>
        <v>5.2601904163162343E-2</v>
      </c>
      <c r="J43" s="50">
        <f>'Cenário A.2.3'!J12</f>
        <v>0</v>
      </c>
      <c r="K43" s="50">
        <f>'Cenário A.2.3'!K12</f>
        <v>2.7704586897994395E-4</v>
      </c>
      <c r="L43" s="50">
        <f>'Cenário A.2.3'!L12</f>
        <v>1.5917849585292542E-5</v>
      </c>
      <c r="M43" s="51">
        <f>'Cenário A.2.3'!M12</f>
        <v>3.4480991323602864E-3</v>
      </c>
      <c r="O43" s="48" t="s">
        <v>14</v>
      </c>
      <c r="P43" s="50">
        <f>'Cenário A.3.3'!I12</f>
        <v>5.2601904163162343E-2</v>
      </c>
      <c r="Q43" s="50">
        <f>'Cenário A.3.3'!J12</f>
        <v>0</v>
      </c>
      <c r="R43" s="50">
        <f>'Cenário A.3.3'!K12</f>
        <v>5.4969919802794935E-4</v>
      </c>
      <c r="S43" s="50">
        <f>'Cenário A.3.3'!L12</f>
        <v>1.1091847006478852E-3</v>
      </c>
      <c r="T43" s="51">
        <f>'Cenário A.3.3'!M12</f>
        <v>3.4480991323602864E-3</v>
      </c>
    </row>
    <row r="44" spans="1:20">
      <c r="A44" s="48" t="s">
        <v>15</v>
      </c>
      <c r="B44" s="50">
        <f>'Cenário A.1.3'!I13</f>
        <v>0</v>
      </c>
      <c r="C44" s="50">
        <f>'Cenário A.1.3'!J13</f>
        <v>0</v>
      </c>
      <c r="D44" s="50">
        <f>'Cenário A.1.3'!K13</f>
        <v>0</v>
      </c>
      <c r="E44" s="50">
        <f>'Cenário A.1.3'!L13</f>
        <v>0</v>
      </c>
      <c r="F44" s="51">
        <f>'Cenário A.1.3'!M13</f>
        <v>0</v>
      </c>
      <c r="H44" s="48" t="s">
        <v>15</v>
      </c>
      <c r="I44" s="50">
        <f>'Cenário A.2.3'!I13</f>
        <v>3.9339908364799695E-3</v>
      </c>
      <c r="J44" s="50">
        <f>'Cenário A.2.3'!J13</f>
        <v>0.45154925757282943</v>
      </c>
      <c r="K44" s="50">
        <f>'Cenário A.2.3'!K13</f>
        <v>0</v>
      </c>
      <c r="L44" s="50">
        <f>'Cenário A.2.3'!L13</f>
        <v>9.552058259486146E-6</v>
      </c>
      <c r="M44" s="51">
        <f>'Cenário A.2.3'!M13</f>
        <v>0</v>
      </c>
      <c r="O44" s="48" t="s">
        <v>15</v>
      </c>
      <c r="P44" s="50">
        <f>'Cenário A.3.3'!I13</f>
        <v>3.9339908364799695E-3</v>
      </c>
      <c r="Q44" s="50">
        <f>'Cenário A.3.3'!J13</f>
        <v>0.45154925757282943</v>
      </c>
      <c r="R44" s="50">
        <f>'Cenário A.3.3'!K13</f>
        <v>0</v>
      </c>
      <c r="S44" s="50">
        <f>'Cenário A.3.3'!L13</f>
        <v>1.8373510782016171E-4</v>
      </c>
      <c r="T44" s="51">
        <f>'Cenário A.3.3'!M13</f>
        <v>0</v>
      </c>
    </row>
    <row r="45" spans="1:20">
      <c r="A45" s="48" t="s">
        <v>16</v>
      </c>
      <c r="B45" s="50">
        <f>'Cenário A.1.3'!I14</f>
        <v>0</v>
      </c>
      <c r="C45" s="50">
        <f>'Cenário A.1.3'!J14</f>
        <v>0</v>
      </c>
      <c r="D45" s="50">
        <f>'Cenário A.1.3'!K14</f>
        <v>8.789320209936667E-7</v>
      </c>
      <c r="E45" s="50">
        <f>'Cenário A.1.3'!L14</f>
        <v>0</v>
      </c>
      <c r="F45" s="51">
        <f>'Cenário A.1.3'!M14</f>
        <v>0</v>
      </c>
      <c r="H45" s="48" t="s">
        <v>16</v>
      </c>
      <c r="I45" s="50">
        <f>'Cenário A.2.3'!I14</f>
        <v>2.6343443239585209E-3</v>
      </c>
      <c r="J45" s="50">
        <f>'Cenário A.2.3'!J14</f>
        <v>0</v>
      </c>
      <c r="K45" s="50">
        <f>'Cenário A.2.3'!K14</f>
        <v>2.1770903140618691E-6</v>
      </c>
      <c r="L45" s="50">
        <f>'Cenário A.2.3'!L14</f>
        <v>1.143721508146563E-4</v>
      </c>
      <c r="M45" s="51">
        <f>'Cenário A.2.3'!M14</f>
        <v>0</v>
      </c>
      <c r="O45" s="48" t="s">
        <v>16</v>
      </c>
      <c r="P45" s="50">
        <f>'Cenário A.3.3'!I14</f>
        <v>2.6343443239585209E-3</v>
      </c>
      <c r="Q45" s="50">
        <f>'Cenário A.3.3'!J14</f>
        <v>0</v>
      </c>
      <c r="R45" s="50">
        <f>'Cenário A.3.3'!K14</f>
        <v>5.7912387075446831E-7</v>
      </c>
      <c r="S45" s="50">
        <f>'Cenário A.3.3'!L14</f>
        <v>1.6815105585505836E-3</v>
      </c>
      <c r="T45" s="51">
        <f>'Cenário A.3.3'!M14</f>
        <v>0</v>
      </c>
    </row>
    <row r="46" spans="1:20" ht="12.75" thickBot="1">
      <c r="A46" s="49" t="s">
        <v>17</v>
      </c>
      <c r="B46" s="52">
        <f>'Cenário A.1.3'!I15</f>
        <v>2.6585508057867805E-2</v>
      </c>
      <c r="C46" s="52">
        <f>'Cenário A.1.3'!J15</f>
        <v>0</v>
      </c>
      <c r="D46" s="52">
        <f>'Cenário A.1.3'!K15</f>
        <v>1.1612567164859158E-4</v>
      </c>
      <c r="E46" s="52">
        <f>'Cenário A.1.3'!L15</f>
        <v>0</v>
      </c>
      <c r="F46" s="53">
        <f>'Cenário A.1.3'!M15</f>
        <v>2.4189621310576753E-3</v>
      </c>
      <c r="H46" s="49" t="s">
        <v>17</v>
      </c>
      <c r="I46" s="52">
        <f>'Cenário A.2.3'!I15</f>
        <v>3.0119538107617555E-2</v>
      </c>
      <c r="J46" s="52">
        <f>'Cenário A.2.3'!J15</f>
        <v>0.40791733295777027</v>
      </c>
      <c r="K46" s="52">
        <f>'Cenário A.2.3'!K15</f>
        <v>1.2761466467591231E-4</v>
      </c>
      <c r="L46" s="52">
        <f>'Cenário A.2.3'!L15</f>
        <v>1.5194690913785908E-5</v>
      </c>
      <c r="M46" s="53">
        <f>'Cenário A.2.3'!M15</f>
        <v>3.4480991323602864E-3</v>
      </c>
      <c r="O46" s="49" t="s">
        <v>17</v>
      </c>
      <c r="P46" s="52">
        <f>'Cenário A.3.3'!I15</f>
        <v>3.0119538107617555E-2</v>
      </c>
      <c r="Q46" s="52">
        <f>'Cenário A.3.3'!J15</f>
        <v>0.40791733295777027</v>
      </c>
      <c r="R46" s="52">
        <f>'Cenário A.3.3'!K15</f>
        <v>2.5188864940469535E-4</v>
      </c>
      <c r="S46" s="52">
        <f>'Cenário A.3.3'!L15</f>
        <v>7.1406131717560186E-4</v>
      </c>
      <c r="T46" s="53">
        <f>'Cenário A.3.3'!M15</f>
        <v>3.4480991323602864E-3</v>
      </c>
    </row>
    <row r="50" spans="3:3">
      <c r="C50" s="11" t="s">
        <v>77</v>
      </c>
    </row>
  </sheetData>
  <mergeCells count="55">
    <mergeCell ref="B4:F4"/>
    <mergeCell ref="B3:F3"/>
    <mergeCell ref="B9:F9"/>
    <mergeCell ref="A22:F22"/>
    <mergeCell ref="A23:A24"/>
    <mergeCell ref="B24:F24"/>
    <mergeCell ref="B5:F5"/>
    <mergeCell ref="A37:F37"/>
    <mergeCell ref="A38:A39"/>
    <mergeCell ref="B39:F39"/>
    <mergeCell ref="I3:M3"/>
    <mergeCell ref="I4:M4"/>
    <mergeCell ref="I5:M5"/>
    <mergeCell ref="H7:M7"/>
    <mergeCell ref="H8:H9"/>
    <mergeCell ref="I9:M9"/>
    <mergeCell ref="B18:F18"/>
    <mergeCell ref="B19:F19"/>
    <mergeCell ref="B20:F20"/>
    <mergeCell ref="B33:F33"/>
    <mergeCell ref="B34:F34"/>
    <mergeCell ref="A7:F7"/>
    <mergeCell ref="A8:A9"/>
    <mergeCell ref="H38:H39"/>
    <mergeCell ref="I39:M39"/>
    <mergeCell ref="I18:M18"/>
    <mergeCell ref="I19:M19"/>
    <mergeCell ref="I20:M20"/>
    <mergeCell ref="H22:M22"/>
    <mergeCell ref="H23:H24"/>
    <mergeCell ref="I24:M24"/>
    <mergeCell ref="O38:O39"/>
    <mergeCell ref="P39:T39"/>
    <mergeCell ref="P18:T18"/>
    <mergeCell ref="P19:T19"/>
    <mergeCell ref="P20:T20"/>
    <mergeCell ref="O22:T22"/>
    <mergeCell ref="O23:O24"/>
    <mergeCell ref="P24:T24"/>
    <mergeCell ref="A1:T1"/>
    <mergeCell ref="P33:T33"/>
    <mergeCell ref="P34:T34"/>
    <mergeCell ref="P35:T35"/>
    <mergeCell ref="O37:T37"/>
    <mergeCell ref="P3:T3"/>
    <mergeCell ref="P4:T4"/>
    <mergeCell ref="P5:T5"/>
    <mergeCell ref="O7:T7"/>
    <mergeCell ref="O8:O9"/>
    <mergeCell ref="P9:T9"/>
    <mergeCell ref="I33:M33"/>
    <mergeCell ref="I34:M34"/>
    <mergeCell ref="I35:M35"/>
    <mergeCell ref="H37:M37"/>
    <mergeCell ref="B35:F35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18</vt:i4>
      </vt:variant>
    </vt:vector>
  </HeadingPairs>
  <TitlesOfParts>
    <vt:vector size="18" baseType="lpstr">
      <vt:lpstr>Renda</vt:lpstr>
      <vt:lpstr>Resumo Demandas </vt:lpstr>
      <vt:lpstr>Abastecimento</vt:lpstr>
      <vt:lpstr>Aquicultura</vt:lpstr>
      <vt:lpstr>Indústria</vt:lpstr>
      <vt:lpstr>Irrigação</vt:lpstr>
      <vt:lpstr>Termoelétrica</vt:lpstr>
      <vt:lpstr>Base Cenários</vt:lpstr>
      <vt:lpstr>Síntese</vt:lpstr>
      <vt:lpstr>Cenário A.1.1</vt:lpstr>
      <vt:lpstr>Cenário A.1.2</vt:lpstr>
      <vt:lpstr>Cenário A.1.3</vt:lpstr>
      <vt:lpstr>Cenário A.2.1</vt:lpstr>
      <vt:lpstr>Cenário A.2.2</vt:lpstr>
      <vt:lpstr>Cenário A.2.3</vt:lpstr>
      <vt:lpstr>Cenário A.3.1</vt:lpstr>
      <vt:lpstr>Cenário A.3.2</vt:lpstr>
      <vt:lpstr>Cenário A.3.3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Marisa Morita</dc:creator>
  <cp:lastModifiedBy>Usuário</cp:lastModifiedBy>
  <dcterms:created xsi:type="dcterms:W3CDTF">2024-04-23T12:17:53Z</dcterms:created>
  <dcterms:modified xsi:type="dcterms:W3CDTF">2024-08-07T02:17:04Z</dcterms:modified>
</cp:coreProperties>
</file>